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815"/>
  <workbookPr/>
  <mc:AlternateContent xmlns:mc="http://schemas.openxmlformats.org/markup-compatibility/2006">
    <mc:Choice Requires="x15">
      <x15ac:absPath xmlns:x15ac="http://schemas.microsoft.com/office/spreadsheetml/2010/11/ac" url="/Users/David/Documents/N21/WLMS/"/>
    </mc:Choice>
  </mc:AlternateContent>
  <bookViews>
    <workbookView xWindow="0" yWindow="0" windowWidth="25600" windowHeight="16000" activeTab="2"/>
  </bookViews>
  <sheets>
    <sheet name="3 Clients" sheetId="1" r:id="rId1"/>
    <sheet name="5 Clients" sheetId="3" r:id="rId2"/>
    <sheet name="10 Clients" sheetId="2" r:id="rId3"/>
    <sheet name="LOOKUP Data" sheetId="4" state="hidden" r:id="rId4"/>
    <sheet name="LOOKUPS" sheetId="5" state="hidden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2" l="1"/>
  <c r="E16" i="2"/>
  <c r="B16" i="2"/>
  <c r="C16" i="2"/>
  <c r="D16" i="2"/>
  <c r="F15" i="2"/>
  <c r="E15" i="2"/>
  <c r="B15" i="2"/>
  <c r="C15" i="2"/>
  <c r="D15" i="2"/>
  <c r="F14" i="2"/>
  <c r="E14" i="2"/>
  <c r="B14" i="2"/>
  <c r="C14" i="2"/>
  <c r="D14" i="2"/>
  <c r="F13" i="2"/>
  <c r="E13" i="2"/>
  <c r="B13" i="2"/>
  <c r="C13" i="2"/>
  <c r="D13" i="2"/>
  <c r="F12" i="2"/>
  <c r="E12" i="2"/>
  <c r="B12" i="2"/>
  <c r="C12" i="2"/>
  <c r="D12" i="2"/>
  <c r="F11" i="2"/>
  <c r="E11" i="2"/>
  <c r="B11" i="2"/>
  <c r="C11" i="2"/>
  <c r="D11" i="2"/>
  <c r="B10" i="2"/>
  <c r="C10" i="2"/>
  <c r="D10" i="2"/>
  <c r="F16" i="3"/>
  <c r="E16" i="3"/>
  <c r="B16" i="3"/>
  <c r="C16" i="3"/>
  <c r="D16" i="3"/>
  <c r="F15" i="3"/>
  <c r="E15" i="3"/>
  <c r="B15" i="3"/>
  <c r="C15" i="3"/>
  <c r="D15" i="3"/>
  <c r="F14" i="3"/>
  <c r="E14" i="3"/>
  <c r="B14" i="3"/>
  <c r="C14" i="3"/>
  <c r="D14" i="3"/>
  <c r="F13" i="3"/>
  <c r="E13" i="3"/>
  <c r="B13" i="3"/>
  <c r="C13" i="3"/>
  <c r="D13" i="3"/>
  <c r="F12" i="3"/>
  <c r="E12" i="3"/>
  <c r="B12" i="3"/>
  <c r="C12" i="3"/>
  <c r="D12" i="3"/>
  <c r="F11" i="3"/>
  <c r="E11" i="3"/>
  <c r="B11" i="3"/>
  <c r="C11" i="3"/>
  <c r="D11" i="3"/>
  <c r="B10" i="3"/>
  <c r="C10" i="3"/>
  <c r="D10" i="3"/>
  <c r="F12" i="1"/>
  <c r="F13" i="1"/>
  <c r="F14" i="1"/>
  <c r="F15" i="1"/>
  <c r="F16" i="1"/>
  <c r="F11" i="1"/>
  <c r="E16" i="1"/>
  <c r="E15" i="1"/>
  <c r="E14" i="1"/>
  <c r="E13" i="1"/>
  <c r="E12" i="1"/>
  <c r="E11" i="1"/>
  <c r="C16" i="1"/>
  <c r="C15" i="1"/>
  <c r="C14" i="1"/>
  <c r="C13" i="1"/>
  <c r="C12" i="1"/>
  <c r="C11" i="1"/>
  <c r="C10" i="1"/>
  <c r="B16" i="1"/>
  <c r="B15" i="1"/>
  <c r="B14" i="1"/>
  <c r="B13" i="1"/>
  <c r="B12" i="1"/>
  <c r="B11" i="1"/>
  <c r="B10" i="1"/>
  <c r="F8" i="5"/>
  <c r="D3" i="5"/>
  <c r="F3" i="5"/>
  <c r="D4" i="5"/>
  <c r="F4" i="5"/>
  <c r="F7" i="5"/>
  <c r="F5" i="5"/>
  <c r="F6" i="5"/>
  <c r="D8" i="5"/>
  <c r="D7" i="5"/>
  <c r="D6" i="5"/>
  <c r="D5" i="5"/>
  <c r="D2" i="5"/>
  <c r="B45" i="2"/>
  <c r="B36" i="2"/>
  <c r="B27" i="2"/>
  <c r="H23" i="2"/>
  <c r="H26" i="2"/>
  <c r="D23" i="2"/>
  <c r="D26" i="2"/>
  <c r="M23" i="2"/>
  <c r="M26" i="2"/>
  <c r="L23" i="2"/>
  <c r="L44" i="2"/>
  <c r="K23" i="2"/>
  <c r="K35" i="2"/>
  <c r="J23" i="2"/>
  <c r="J35" i="2"/>
  <c r="I23" i="2"/>
  <c r="I26" i="2"/>
  <c r="H44" i="2"/>
  <c r="G23" i="2"/>
  <c r="G26" i="2"/>
  <c r="F23" i="2"/>
  <c r="F35" i="2"/>
  <c r="E23" i="2"/>
  <c r="E26" i="2"/>
  <c r="D44" i="2"/>
  <c r="C23" i="2"/>
  <c r="C35" i="2"/>
  <c r="B23" i="2"/>
  <c r="B35" i="2"/>
  <c r="B34" i="2"/>
  <c r="H35" i="2"/>
  <c r="B45" i="3"/>
  <c r="B36" i="3"/>
  <c r="B27" i="3"/>
  <c r="M23" i="3"/>
  <c r="M26" i="3"/>
  <c r="L23" i="3"/>
  <c r="L44" i="3"/>
  <c r="K23" i="3"/>
  <c r="J23" i="3"/>
  <c r="I23" i="3"/>
  <c r="I26" i="3"/>
  <c r="H23" i="3"/>
  <c r="H44" i="3"/>
  <c r="G23" i="3"/>
  <c r="F23" i="3"/>
  <c r="E23" i="3"/>
  <c r="E26" i="3"/>
  <c r="D23" i="3"/>
  <c r="D44" i="3"/>
  <c r="C23" i="3"/>
  <c r="B23" i="3"/>
  <c r="B23" i="1"/>
  <c r="B44" i="1"/>
  <c r="B45" i="1"/>
  <c r="B43" i="1"/>
  <c r="B52" i="1"/>
  <c r="B35" i="1"/>
  <c r="B36" i="1"/>
  <c r="B34" i="1"/>
  <c r="B53" i="1"/>
  <c r="L26" i="3"/>
  <c r="H26" i="3"/>
  <c r="D26" i="3"/>
  <c r="L26" i="2"/>
  <c r="O26" i="2"/>
  <c r="I35" i="2"/>
  <c r="C44" i="2"/>
  <c r="K44" i="2"/>
  <c r="C26" i="2"/>
  <c r="K26" i="2"/>
  <c r="D35" i="2"/>
  <c r="L35" i="2"/>
  <c r="B26" i="2"/>
  <c r="F26" i="2"/>
  <c r="J26" i="2"/>
  <c r="G35" i="2"/>
  <c r="E44" i="2"/>
  <c r="I44" i="2"/>
  <c r="M44" i="2"/>
  <c r="E35" i="2"/>
  <c r="M35" i="2"/>
  <c r="G44" i="2"/>
  <c r="C24" i="2"/>
  <c r="B44" i="2"/>
  <c r="B43" i="2"/>
  <c r="B52" i="2"/>
  <c r="B53" i="2"/>
  <c r="F44" i="2"/>
  <c r="J44" i="2"/>
  <c r="L35" i="3"/>
  <c r="H35" i="3"/>
  <c r="D35" i="3"/>
  <c r="C35" i="3"/>
  <c r="C26" i="3"/>
  <c r="C44" i="3"/>
  <c r="G35" i="3"/>
  <c r="G26" i="3"/>
  <c r="G44" i="3"/>
  <c r="K35" i="3"/>
  <c r="K26" i="3"/>
  <c r="K44" i="3"/>
  <c r="O26" i="3"/>
  <c r="M35" i="3"/>
  <c r="B35" i="3"/>
  <c r="B34" i="3"/>
  <c r="F35" i="3"/>
  <c r="J35" i="3"/>
  <c r="C24" i="3"/>
  <c r="D24" i="3"/>
  <c r="I35" i="3"/>
  <c r="E35" i="3"/>
  <c r="B44" i="3"/>
  <c r="B43" i="3"/>
  <c r="B52" i="3"/>
  <c r="F44" i="3"/>
  <c r="J44" i="3"/>
  <c r="B26" i="3"/>
  <c r="F26" i="3"/>
  <c r="J26" i="3"/>
  <c r="E44" i="3"/>
  <c r="I44" i="3"/>
  <c r="M44" i="3"/>
  <c r="C37" i="2"/>
  <c r="C36" i="2"/>
  <c r="C34" i="2"/>
  <c r="D30" i="2"/>
  <c r="C46" i="2"/>
  <c r="C45" i="2"/>
  <c r="E32" i="2"/>
  <c r="D48" i="2"/>
  <c r="D38" i="2"/>
  <c r="D31" i="2"/>
  <c r="D49" i="2"/>
  <c r="D47" i="2"/>
  <c r="E41" i="2"/>
  <c r="D39" i="2"/>
  <c r="D29" i="2"/>
  <c r="C28" i="2"/>
  <c r="E50" i="2"/>
  <c r="D40" i="2"/>
  <c r="C43" i="2"/>
  <c r="C52" i="2"/>
  <c r="D24" i="2"/>
  <c r="N26" i="2"/>
  <c r="B55" i="2"/>
  <c r="F50" i="3"/>
  <c r="E48" i="3"/>
  <c r="E40" i="3"/>
  <c r="E38" i="3"/>
  <c r="E31" i="3"/>
  <c r="D37" i="3"/>
  <c r="E30" i="3"/>
  <c r="E49" i="3"/>
  <c r="E47" i="3"/>
  <c r="F41" i="3"/>
  <c r="E39" i="3"/>
  <c r="E29" i="3"/>
  <c r="D28" i="3"/>
  <c r="D29" i="3"/>
  <c r="D30" i="3"/>
  <c r="D31" i="3"/>
  <c r="D27" i="3"/>
  <c r="D46" i="3"/>
  <c r="F32" i="3"/>
  <c r="N26" i="3"/>
  <c r="B53" i="3"/>
  <c r="B55" i="3"/>
  <c r="C37" i="3"/>
  <c r="C36" i="3"/>
  <c r="C34" i="3"/>
  <c r="D49" i="3"/>
  <c r="D47" i="3"/>
  <c r="E41" i="3"/>
  <c r="D39" i="3"/>
  <c r="C28" i="3"/>
  <c r="C46" i="3"/>
  <c r="C45" i="3"/>
  <c r="C43" i="3"/>
  <c r="C52" i="3"/>
  <c r="E32" i="3"/>
  <c r="E50" i="3"/>
  <c r="D48" i="3"/>
  <c r="D38" i="3"/>
  <c r="D40" i="3"/>
  <c r="E24" i="3"/>
  <c r="C53" i="3"/>
  <c r="C53" i="2"/>
  <c r="C27" i="2"/>
  <c r="F50" i="2"/>
  <c r="E48" i="2"/>
  <c r="E40" i="2"/>
  <c r="E38" i="2"/>
  <c r="E31" i="2"/>
  <c r="E49" i="2"/>
  <c r="E39" i="2"/>
  <c r="D28" i="2"/>
  <c r="D27" i="2"/>
  <c r="D37" i="2"/>
  <c r="D36" i="2"/>
  <c r="D34" i="2"/>
  <c r="E30" i="2"/>
  <c r="E47" i="2"/>
  <c r="F41" i="2"/>
  <c r="E29" i="2"/>
  <c r="D46" i="2"/>
  <c r="D45" i="2"/>
  <c r="D43" i="2"/>
  <c r="D52" i="2"/>
  <c r="F32" i="2"/>
  <c r="E24" i="2"/>
  <c r="D45" i="3"/>
  <c r="D43" i="3"/>
  <c r="D52" i="3"/>
  <c r="D36" i="3"/>
  <c r="D34" i="3"/>
  <c r="D53" i="3"/>
  <c r="D55" i="3"/>
  <c r="C27" i="3"/>
  <c r="E46" i="3"/>
  <c r="E45" i="3"/>
  <c r="E43" i="3"/>
  <c r="E52" i="3"/>
  <c r="G32" i="3"/>
  <c r="G50" i="3"/>
  <c r="F48" i="3"/>
  <c r="F40" i="3"/>
  <c r="F38" i="3"/>
  <c r="F31" i="3"/>
  <c r="E37" i="3"/>
  <c r="E36" i="3"/>
  <c r="E34" i="3"/>
  <c r="F30" i="3"/>
  <c r="F49" i="3"/>
  <c r="F47" i="3"/>
  <c r="E28" i="3"/>
  <c r="E27" i="3"/>
  <c r="F39" i="3"/>
  <c r="G41" i="3"/>
  <c r="F29" i="3"/>
  <c r="F24" i="3"/>
  <c r="E53" i="3"/>
  <c r="C55" i="2"/>
  <c r="E46" i="2"/>
  <c r="E45" i="2"/>
  <c r="E43" i="2"/>
  <c r="E52" i="2"/>
  <c r="E37" i="2"/>
  <c r="E36" i="2"/>
  <c r="E34" i="2"/>
  <c r="E53" i="2"/>
  <c r="G32" i="2"/>
  <c r="F30" i="2"/>
  <c r="F47" i="2"/>
  <c r="G41" i="2"/>
  <c r="G50" i="2"/>
  <c r="F48" i="2"/>
  <c r="F40" i="2"/>
  <c r="F38" i="2"/>
  <c r="F31" i="2"/>
  <c r="F49" i="2"/>
  <c r="F39" i="2"/>
  <c r="F29" i="2"/>
  <c r="E28" i="2"/>
  <c r="E27" i="2"/>
  <c r="F24" i="2"/>
  <c r="D53" i="2"/>
  <c r="D55" i="2"/>
  <c r="G49" i="3"/>
  <c r="G47" i="3"/>
  <c r="H41" i="3"/>
  <c r="G39" i="3"/>
  <c r="G29" i="3"/>
  <c r="F28" i="3"/>
  <c r="F27" i="3"/>
  <c r="F46" i="3"/>
  <c r="F45" i="3"/>
  <c r="F43" i="3"/>
  <c r="F52" i="3"/>
  <c r="H32" i="3"/>
  <c r="H50" i="3"/>
  <c r="G48" i="3"/>
  <c r="G40" i="3"/>
  <c r="G38" i="3"/>
  <c r="G31" i="3"/>
  <c r="F37" i="3"/>
  <c r="F36" i="3"/>
  <c r="F34" i="3"/>
  <c r="G30" i="3"/>
  <c r="G24" i="3"/>
  <c r="E55" i="3"/>
  <c r="C55" i="3"/>
  <c r="F53" i="3"/>
  <c r="F55" i="3"/>
  <c r="G49" i="2"/>
  <c r="G47" i="2"/>
  <c r="H41" i="2"/>
  <c r="G39" i="2"/>
  <c r="G29" i="2"/>
  <c r="F28" i="2"/>
  <c r="F27" i="2"/>
  <c r="G48" i="2"/>
  <c r="G38" i="2"/>
  <c r="G31" i="2"/>
  <c r="F37" i="2"/>
  <c r="F36" i="2"/>
  <c r="F34" i="2"/>
  <c r="G30" i="2"/>
  <c r="F46" i="2"/>
  <c r="F45" i="2"/>
  <c r="F43" i="2"/>
  <c r="F52" i="2"/>
  <c r="F53" i="2"/>
  <c r="H32" i="2"/>
  <c r="H50" i="2"/>
  <c r="G40" i="2"/>
  <c r="G24" i="2"/>
  <c r="E55" i="2"/>
  <c r="G37" i="3"/>
  <c r="G36" i="3"/>
  <c r="G34" i="3"/>
  <c r="H30" i="3"/>
  <c r="H49" i="3"/>
  <c r="H47" i="3"/>
  <c r="I41" i="3"/>
  <c r="H39" i="3"/>
  <c r="H29" i="3"/>
  <c r="G28" i="3"/>
  <c r="G46" i="3"/>
  <c r="G45" i="3"/>
  <c r="G43" i="3"/>
  <c r="G52" i="3"/>
  <c r="G53" i="3"/>
  <c r="I32" i="3"/>
  <c r="I50" i="3"/>
  <c r="H48" i="3"/>
  <c r="H40" i="3"/>
  <c r="H31" i="3"/>
  <c r="H38" i="3"/>
  <c r="H24" i="3"/>
  <c r="G37" i="2"/>
  <c r="G36" i="2"/>
  <c r="G34" i="2"/>
  <c r="H30" i="2"/>
  <c r="I50" i="2"/>
  <c r="H40" i="2"/>
  <c r="H49" i="2"/>
  <c r="H47" i="2"/>
  <c r="I41" i="2"/>
  <c r="H39" i="2"/>
  <c r="H29" i="2"/>
  <c r="G28" i="2"/>
  <c r="G46" i="2"/>
  <c r="G45" i="2"/>
  <c r="G43" i="2"/>
  <c r="G52" i="2"/>
  <c r="G53" i="2"/>
  <c r="I32" i="2"/>
  <c r="H48" i="2"/>
  <c r="H38" i="2"/>
  <c r="H31" i="2"/>
  <c r="H24" i="2"/>
  <c r="F55" i="2"/>
  <c r="J50" i="3"/>
  <c r="I48" i="3"/>
  <c r="I40" i="3"/>
  <c r="I38" i="3"/>
  <c r="I31" i="3"/>
  <c r="H37" i="3"/>
  <c r="H36" i="3"/>
  <c r="H34" i="3"/>
  <c r="I30" i="3"/>
  <c r="I49" i="3"/>
  <c r="I47" i="3"/>
  <c r="J41" i="3"/>
  <c r="I39" i="3"/>
  <c r="I29" i="3"/>
  <c r="H28" i="3"/>
  <c r="H27" i="3"/>
  <c r="H46" i="3"/>
  <c r="H45" i="3"/>
  <c r="H43" i="3"/>
  <c r="H52" i="3"/>
  <c r="H53" i="3"/>
  <c r="J32" i="3"/>
  <c r="I24" i="3"/>
  <c r="G27" i="3"/>
  <c r="G27" i="2"/>
  <c r="J50" i="2"/>
  <c r="I48" i="2"/>
  <c r="I40" i="2"/>
  <c r="I38" i="2"/>
  <c r="I31" i="2"/>
  <c r="I47" i="2"/>
  <c r="J41" i="2"/>
  <c r="I29" i="2"/>
  <c r="H46" i="2"/>
  <c r="H45" i="2"/>
  <c r="H43" i="2"/>
  <c r="H52" i="2"/>
  <c r="H37" i="2"/>
  <c r="H36" i="2"/>
  <c r="H34" i="2"/>
  <c r="I30" i="2"/>
  <c r="I49" i="2"/>
  <c r="I39" i="2"/>
  <c r="H28" i="2"/>
  <c r="H27" i="2"/>
  <c r="J32" i="2"/>
  <c r="I24" i="2"/>
  <c r="G55" i="3"/>
  <c r="H55" i="3"/>
  <c r="I46" i="3"/>
  <c r="I45" i="3"/>
  <c r="I43" i="3"/>
  <c r="I52" i="3"/>
  <c r="I37" i="3"/>
  <c r="I36" i="3"/>
  <c r="I34" i="3"/>
  <c r="I53" i="3"/>
  <c r="K32" i="3"/>
  <c r="K50" i="3"/>
  <c r="J48" i="3"/>
  <c r="J40" i="3"/>
  <c r="J38" i="3"/>
  <c r="J31" i="3"/>
  <c r="J30" i="3"/>
  <c r="J49" i="3"/>
  <c r="J47" i="3"/>
  <c r="J29" i="3"/>
  <c r="I28" i="3"/>
  <c r="J39" i="3"/>
  <c r="K41" i="3"/>
  <c r="J24" i="3"/>
  <c r="I46" i="2"/>
  <c r="I45" i="2"/>
  <c r="I43" i="2"/>
  <c r="I52" i="2"/>
  <c r="I37" i="2"/>
  <c r="I36" i="2"/>
  <c r="I34" i="2"/>
  <c r="I53" i="2"/>
  <c r="K32" i="2"/>
  <c r="J30" i="2"/>
  <c r="J49" i="2"/>
  <c r="J39" i="2"/>
  <c r="J29" i="2"/>
  <c r="I28" i="2"/>
  <c r="K50" i="2"/>
  <c r="J48" i="2"/>
  <c r="J40" i="2"/>
  <c r="J38" i="2"/>
  <c r="J31" i="2"/>
  <c r="J47" i="2"/>
  <c r="K41" i="2"/>
  <c r="J24" i="2"/>
  <c r="G55" i="2"/>
  <c r="H53" i="2"/>
  <c r="H55" i="2"/>
  <c r="I27" i="3"/>
  <c r="K49" i="3"/>
  <c r="K47" i="3"/>
  <c r="L41" i="3"/>
  <c r="K39" i="3"/>
  <c r="K29" i="3"/>
  <c r="J28" i="3"/>
  <c r="J27" i="3"/>
  <c r="J46" i="3"/>
  <c r="J45" i="3"/>
  <c r="J43" i="3"/>
  <c r="J52" i="3"/>
  <c r="L32" i="3"/>
  <c r="L50" i="3"/>
  <c r="K48" i="3"/>
  <c r="K40" i="3"/>
  <c r="K38" i="3"/>
  <c r="K31" i="3"/>
  <c r="J37" i="3"/>
  <c r="J36" i="3"/>
  <c r="J34" i="3"/>
  <c r="K30" i="3"/>
  <c r="K24" i="3"/>
  <c r="J53" i="3"/>
  <c r="I27" i="2"/>
  <c r="I55" i="2"/>
  <c r="K49" i="2"/>
  <c r="K47" i="2"/>
  <c r="L41" i="2"/>
  <c r="K39" i="2"/>
  <c r="K29" i="2"/>
  <c r="J28" i="2"/>
  <c r="J27" i="2"/>
  <c r="L50" i="2"/>
  <c r="K40" i="2"/>
  <c r="J46" i="2"/>
  <c r="J45" i="2"/>
  <c r="J43" i="2"/>
  <c r="J52" i="2"/>
  <c r="L32" i="2"/>
  <c r="K48" i="2"/>
  <c r="K38" i="2"/>
  <c r="K31" i="2"/>
  <c r="J37" i="2"/>
  <c r="J36" i="2"/>
  <c r="J34" i="2"/>
  <c r="K30" i="2"/>
  <c r="K24" i="2"/>
  <c r="J55" i="3"/>
  <c r="I55" i="3"/>
  <c r="K37" i="3"/>
  <c r="K36" i="3"/>
  <c r="K34" i="3"/>
  <c r="L30" i="3"/>
  <c r="L49" i="3"/>
  <c r="L47" i="3"/>
  <c r="M41" i="3"/>
  <c r="L39" i="3"/>
  <c r="L29" i="3"/>
  <c r="K28" i="3"/>
  <c r="K27" i="3"/>
  <c r="K46" i="3"/>
  <c r="K45" i="3"/>
  <c r="K43" i="3"/>
  <c r="K52" i="3"/>
  <c r="K53" i="3"/>
  <c r="K55" i="3"/>
  <c r="M32" i="3"/>
  <c r="N32" i="3"/>
  <c r="M50" i="3"/>
  <c r="L48" i="3"/>
  <c r="L38" i="3"/>
  <c r="L40" i="3"/>
  <c r="L31" i="3"/>
  <c r="L24" i="3"/>
  <c r="K37" i="2"/>
  <c r="K36" i="2"/>
  <c r="K34" i="2"/>
  <c r="L30" i="2"/>
  <c r="K46" i="2"/>
  <c r="K45" i="2"/>
  <c r="K43" i="2"/>
  <c r="K52" i="2"/>
  <c r="K53" i="2"/>
  <c r="M32" i="2"/>
  <c r="N32" i="2"/>
  <c r="L48" i="2"/>
  <c r="L38" i="2"/>
  <c r="L31" i="2"/>
  <c r="L49" i="2"/>
  <c r="L47" i="2"/>
  <c r="M41" i="2"/>
  <c r="L39" i="2"/>
  <c r="L29" i="2"/>
  <c r="K28" i="2"/>
  <c r="K27" i="2"/>
  <c r="M50" i="2"/>
  <c r="L40" i="2"/>
  <c r="L24" i="2"/>
  <c r="J53" i="2"/>
  <c r="J55" i="2"/>
  <c r="M48" i="3"/>
  <c r="M40" i="3"/>
  <c r="M38" i="3"/>
  <c r="M31" i="3"/>
  <c r="N31" i="3"/>
  <c r="L37" i="3"/>
  <c r="L36" i="3"/>
  <c r="L34" i="3"/>
  <c r="M30" i="3"/>
  <c r="N30" i="3"/>
  <c r="M49" i="3"/>
  <c r="M47" i="3"/>
  <c r="M39" i="3"/>
  <c r="M29" i="3"/>
  <c r="N29" i="3"/>
  <c r="L28" i="3"/>
  <c r="L27" i="3"/>
  <c r="L46" i="3"/>
  <c r="L45" i="3"/>
  <c r="L43" i="3"/>
  <c r="L52" i="3"/>
  <c r="L53" i="3"/>
  <c r="M24" i="3"/>
  <c r="M48" i="2"/>
  <c r="M40" i="2"/>
  <c r="M38" i="2"/>
  <c r="M31" i="2"/>
  <c r="N31" i="2"/>
  <c r="M49" i="2"/>
  <c r="M39" i="2"/>
  <c r="L28" i="2"/>
  <c r="L27" i="2"/>
  <c r="L37" i="2"/>
  <c r="L36" i="2"/>
  <c r="L34" i="2"/>
  <c r="M30" i="2"/>
  <c r="N30" i="2"/>
  <c r="M47" i="2"/>
  <c r="M29" i="2"/>
  <c r="N29" i="2"/>
  <c r="L46" i="2"/>
  <c r="L45" i="2"/>
  <c r="L43" i="2"/>
  <c r="L52" i="2"/>
  <c r="L53" i="2"/>
  <c r="M24" i="2"/>
  <c r="K55" i="2"/>
  <c r="M46" i="3"/>
  <c r="M45" i="3"/>
  <c r="M43" i="3"/>
  <c r="M52" i="3"/>
  <c r="M37" i="3"/>
  <c r="M36" i="3"/>
  <c r="M34" i="3"/>
  <c r="M53" i="3"/>
  <c r="M28" i="3"/>
  <c r="L55" i="3"/>
  <c r="M46" i="2"/>
  <c r="M45" i="2"/>
  <c r="M43" i="2"/>
  <c r="M52" i="2"/>
  <c r="M37" i="2"/>
  <c r="M36" i="2"/>
  <c r="M34" i="2"/>
  <c r="M53" i="2"/>
  <c r="M28" i="2"/>
  <c r="L55" i="2"/>
  <c r="O53" i="3"/>
  <c r="N53" i="3"/>
  <c r="M27" i="3"/>
  <c r="N28" i="3"/>
  <c r="O53" i="2"/>
  <c r="N53" i="2"/>
  <c r="M27" i="2"/>
  <c r="N28" i="2"/>
  <c r="O27" i="3"/>
  <c r="O55" i="3"/>
  <c r="M55" i="3"/>
  <c r="N55" i="3"/>
  <c r="N27" i="3"/>
  <c r="O27" i="2"/>
  <c r="O55" i="2"/>
  <c r="M55" i="2"/>
  <c r="N55" i="2"/>
  <c r="N27" i="2"/>
  <c r="C23" i="1"/>
  <c r="C24" i="1"/>
  <c r="D24" i="1"/>
  <c r="E48" i="1"/>
  <c r="D23" i="1"/>
  <c r="E24" i="1"/>
  <c r="F48" i="1"/>
  <c r="E23" i="1"/>
  <c r="F24" i="1"/>
  <c r="G48" i="1"/>
  <c r="F23" i="1"/>
  <c r="G24" i="1"/>
  <c r="H48" i="1"/>
  <c r="G23" i="1"/>
  <c r="H24" i="1"/>
  <c r="I48" i="1"/>
  <c r="H23" i="1"/>
  <c r="I24" i="1"/>
  <c r="J48" i="1"/>
  <c r="I23" i="1"/>
  <c r="J24" i="1"/>
  <c r="K48" i="1"/>
  <c r="J23" i="1"/>
  <c r="K24" i="1"/>
  <c r="L48" i="1"/>
  <c r="K23" i="1"/>
  <c r="L24" i="1"/>
  <c r="M48" i="1"/>
  <c r="D48" i="1"/>
  <c r="B27" i="1"/>
  <c r="D16" i="1"/>
  <c r="C28" i="1"/>
  <c r="C27" i="1"/>
  <c r="D28" i="1"/>
  <c r="D12" i="1"/>
  <c r="D29" i="1"/>
  <c r="D13" i="1"/>
  <c r="D30" i="1"/>
  <c r="D15" i="1"/>
  <c r="D31" i="1"/>
  <c r="D27" i="1"/>
  <c r="E28" i="1"/>
  <c r="E29" i="1"/>
  <c r="E30" i="1"/>
  <c r="E31" i="1"/>
  <c r="D14" i="1"/>
  <c r="E32" i="1"/>
  <c r="E27" i="1"/>
  <c r="F28" i="1"/>
  <c r="F29" i="1"/>
  <c r="F30" i="1"/>
  <c r="F31" i="1"/>
  <c r="F32" i="1"/>
  <c r="F27" i="1"/>
  <c r="G28" i="1"/>
  <c r="G29" i="1"/>
  <c r="G30" i="1"/>
  <c r="G31" i="1"/>
  <c r="G32" i="1"/>
  <c r="G27" i="1"/>
  <c r="H28" i="1"/>
  <c r="H29" i="1"/>
  <c r="H30" i="1"/>
  <c r="H31" i="1"/>
  <c r="H32" i="1"/>
  <c r="H27" i="1"/>
  <c r="I28" i="1"/>
  <c r="I29" i="1"/>
  <c r="I30" i="1"/>
  <c r="I31" i="1"/>
  <c r="I32" i="1"/>
  <c r="I27" i="1"/>
  <c r="J28" i="1"/>
  <c r="J29" i="1"/>
  <c r="J30" i="1"/>
  <c r="J31" i="1"/>
  <c r="J32" i="1"/>
  <c r="J27" i="1"/>
  <c r="K28" i="1"/>
  <c r="K29" i="1"/>
  <c r="K30" i="1"/>
  <c r="K31" i="1"/>
  <c r="K32" i="1"/>
  <c r="K27" i="1"/>
  <c r="L28" i="1"/>
  <c r="L29" i="1"/>
  <c r="L30" i="1"/>
  <c r="L31" i="1"/>
  <c r="L32" i="1"/>
  <c r="L27" i="1"/>
  <c r="L23" i="1"/>
  <c r="M24" i="1"/>
  <c r="M28" i="1"/>
  <c r="M29" i="1"/>
  <c r="M30" i="1"/>
  <c r="M31" i="1"/>
  <c r="M32" i="1"/>
  <c r="M27" i="1"/>
  <c r="N27" i="1"/>
  <c r="D10" i="1"/>
  <c r="D11" i="1"/>
  <c r="B26" i="1"/>
  <c r="C26" i="1"/>
  <c r="D26" i="1"/>
  <c r="E26" i="1"/>
  <c r="F26" i="1"/>
  <c r="G26" i="1"/>
  <c r="H26" i="1"/>
  <c r="I26" i="1"/>
  <c r="J26" i="1"/>
  <c r="K26" i="1"/>
  <c r="L26" i="1"/>
  <c r="M23" i="1"/>
  <c r="M26" i="1"/>
  <c r="N26" i="1"/>
  <c r="E39" i="1"/>
  <c r="F39" i="1"/>
  <c r="G39" i="1"/>
  <c r="H39" i="1"/>
  <c r="I39" i="1"/>
  <c r="J39" i="1"/>
  <c r="K39" i="1"/>
  <c r="L39" i="1"/>
  <c r="M39" i="1"/>
  <c r="D39" i="1"/>
  <c r="N30" i="1"/>
  <c r="L44" i="1"/>
  <c r="L35" i="1"/>
  <c r="D44" i="1"/>
  <c r="D35" i="1"/>
  <c r="I35" i="1"/>
  <c r="I44" i="1"/>
  <c r="M35" i="1"/>
  <c r="M44" i="1"/>
  <c r="J35" i="1"/>
  <c r="J44" i="1"/>
  <c r="F35" i="1"/>
  <c r="F44" i="1"/>
  <c r="H44" i="1"/>
  <c r="H35" i="1"/>
  <c r="E35" i="1"/>
  <c r="E44" i="1"/>
  <c r="K35" i="1"/>
  <c r="K44" i="1"/>
  <c r="G35" i="1"/>
  <c r="G44" i="1"/>
  <c r="C35" i="1"/>
  <c r="C44" i="1"/>
  <c r="B55" i="1"/>
  <c r="D49" i="1"/>
  <c r="C46" i="1"/>
  <c r="C45" i="1"/>
  <c r="C43" i="1"/>
  <c r="C52" i="1"/>
  <c r="D40" i="1"/>
  <c r="D38" i="1"/>
  <c r="C37" i="1"/>
  <c r="O26" i="1"/>
  <c r="C36" i="1"/>
  <c r="C34" i="1"/>
  <c r="E50" i="1"/>
  <c r="E41" i="1"/>
  <c r="D47" i="1"/>
  <c r="D37" i="1"/>
  <c r="D36" i="1"/>
  <c r="D34" i="1"/>
  <c r="D46" i="1"/>
  <c r="D45" i="1"/>
  <c r="D43" i="1"/>
  <c r="D52" i="1"/>
  <c r="C53" i="1"/>
  <c r="C55" i="1"/>
  <c r="E40" i="1"/>
  <c r="E49" i="1"/>
  <c r="F50" i="1"/>
  <c r="E38" i="1"/>
  <c r="E47" i="1"/>
  <c r="F41" i="1"/>
  <c r="E37" i="1"/>
  <c r="E36" i="1"/>
  <c r="E34" i="1"/>
  <c r="E46" i="1"/>
  <c r="E45" i="1"/>
  <c r="E43" i="1"/>
  <c r="E52" i="1"/>
  <c r="D53" i="1"/>
  <c r="D55" i="1"/>
  <c r="F47" i="1"/>
  <c r="G41" i="1"/>
  <c r="F38" i="1"/>
  <c r="G50" i="1"/>
  <c r="F40" i="1"/>
  <c r="F49" i="1"/>
  <c r="F37" i="1"/>
  <c r="F36" i="1"/>
  <c r="F34" i="1"/>
  <c r="F46" i="1"/>
  <c r="F45" i="1"/>
  <c r="F43" i="1"/>
  <c r="F52" i="1"/>
  <c r="E53" i="1"/>
  <c r="E55" i="1"/>
  <c r="G47" i="1"/>
  <c r="G49" i="1"/>
  <c r="G40" i="1"/>
  <c r="G38" i="1"/>
  <c r="H50" i="1"/>
  <c r="H41" i="1"/>
  <c r="G37" i="1"/>
  <c r="G36" i="1"/>
  <c r="G34" i="1"/>
  <c r="G46" i="1"/>
  <c r="G45" i="1"/>
  <c r="G43" i="1"/>
  <c r="G52" i="1"/>
  <c r="H38" i="1"/>
  <c r="I50" i="1"/>
  <c r="I41" i="1"/>
  <c r="H47" i="1"/>
  <c r="H49" i="1"/>
  <c r="H40" i="1"/>
  <c r="F53" i="1"/>
  <c r="F55" i="1"/>
  <c r="H37" i="1"/>
  <c r="H36" i="1"/>
  <c r="H34" i="1"/>
  <c r="H46" i="1"/>
  <c r="H45" i="1"/>
  <c r="H43" i="1"/>
  <c r="H52" i="1"/>
  <c r="G53" i="1"/>
  <c r="G55" i="1"/>
  <c r="J50" i="1"/>
  <c r="I49" i="1"/>
  <c r="I47" i="1"/>
  <c r="J41" i="1"/>
  <c r="I38" i="1"/>
  <c r="I40" i="1"/>
  <c r="H53" i="1"/>
  <c r="H55" i="1"/>
  <c r="I37" i="1"/>
  <c r="I36" i="1"/>
  <c r="I34" i="1"/>
  <c r="I46" i="1"/>
  <c r="I45" i="1"/>
  <c r="I43" i="1"/>
  <c r="I52" i="1"/>
  <c r="J49" i="1"/>
  <c r="K41" i="1"/>
  <c r="J38" i="1"/>
  <c r="J40" i="1"/>
  <c r="K50" i="1"/>
  <c r="J47" i="1"/>
  <c r="I53" i="1"/>
  <c r="I55" i="1"/>
  <c r="J37" i="1"/>
  <c r="J36" i="1"/>
  <c r="J34" i="1"/>
  <c r="J46" i="1"/>
  <c r="J45" i="1"/>
  <c r="J43" i="1"/>
  <c r="J52" i="1"/>
  <c r="L41" i="1"/>
  <c r="K38" i="1"/>
  <c r="K47" i="1"/>
  <c r="K49" i="1"/>
  <c r="K40" i="1"/>
  <c r="L50" i="1"/>
  <c r="K37" i="1"/>
  <c r="K36" i="1"/>
  <c r="K34" i="1"/>
  <c r="K46" i="1"/>
  <c r="K45" i="1"/>
  <c r="K43" i="1"/>
  <c r="K52" i="1"/>
  <c r="J53" i="1"/>
  <c r="L47" i="1"/>
  <c r="N32" i="1"/>
  <c r="L40" i="1"/>
  <c r="L49" i="1"/>
  <c r="M50" i="1"/>
  <c r="L38" i="1"/>
  <c r="M41" i="1"/>
  <c r="K53" i="1"/>
  <c r="L37" i="1"/>
  <c r="L36" i="1"/>
  <c r="L34" i="1"/>
  <c r="L46" i="1"/>
  <c r="L45" i="1"/>
  <c r="L43" i="1"/>
  <c r="L52" i="1"/>
  <c r="J55" i="1"/>
  <c r="K55" i="1"/>
  <c r="M49" i="1"/>
  <c r="M38" i="1"/>
  <c r="M47" i="1"/>
  <c r="N31" i="1"/>
  <c r="M40" i="1"/>
  <c r="M37" i="1"/>
  <c r="M36" i="1"/>
  <c r="M34" i="1"/>
  <c r="M46" i="1"/>
  <c r="N29" i="1"/>
  <c r="L53" i="1"/>
  <c r="L55" i="1"/>
  <c r="M45" i="1"/>
  <c r="M43" i="1"/>
  <c r="M52" i="1"/>
  <c r="O27" i="1"/>
  <c r="M53" i="1"/>
  <c r="N53" i="1"/>
  <c r="N28" i="1"/>
  <c r="O53" i="1"/>
  <c r="O55" i="1"/>
  <c r="M55" i="1"/>
  <c r="N55" i="1"/>
</calcChain>
</file>

<file path=xl/sharedStrings.xml><?xml version="1.0" encoding="utf-8"?>
<sst xmlns="http://schemas.openxmlformats.org/spreadsheetml/2006/main" count="210" uniqueCount="68">
  <si>
    <t>Mth1</t>
  </si>
  <si>
    <t>Mth2</t>
  </si>
  <si>
    <t>Mth3</t>
  </si>
  <si>
    <t>Mth4</t>
  </si>
  <si>
    <t>Mth5</t>
  </si>
  <si>
    <t>Mth6</t>
  </si>
  <si>
    <t>Mth7</t>
  </si>
  <si>
    <t>Mth8</t>
  </si>
  <si>
    <t>Mth9</t>
  </si>
  <si>
    <t>Mth10</t>
  </si>
  <si>
    <t>Mth11</t>
  </si>
  <si>
    <t>Mth12</t>
  </si>
  <si>
    <t>Assumptions:</t>
  </si>
  <si>
    <t>Clients on Maintenance</t>
  </si>
  <si>
    <t>New Clients</t>
  </si>
  <si>
    <t>Each client consumes</t>
  </si>
  <si>
    <t>Retail Profit on New Clients</t>
  </si>
  <si>
    <t>Retail Profit on Maintenance</t>
  </si>
  <si>
    <t>Volume Bonus</t>
  </si>
  <si>
    <t>Retail</t>
  </si>
  <si>
    <t>Wholesale</t>
  </si>
  <si>
    <t>Profit</t>
  </si>
  <si>
    <t>PV</t>
  </si>
  <si>
    <t>Positrim Bars (Box of 9)</t>
  </si>
  <si>
    <t>Healthpointe Kit</t>
  </si>
  <si>
    <t>Total PV</t>
  </si>
  <si>
    <t>Total Business Volume</t>
  </si>
  <si>
    <t>BV</t>
  </si>
  <si>
    <t>bars per day during weight loss</t>
  </si>
  <si>
    <t>bar per day during maintenance</t>
  </si>
  <si>
    <t>Retail Profit on Omega 3 Complex</t>
  </si>
  <si>
    <t>Scenario 1: Processing clients at a rate of</t>
  </si>
  <si>
    <t>per month</t>
  </si>
  <si>
    <t>Total</t>
  </si>
  <si>
    <t>Business Volume on Omega 3 Complex</t>
  </si>
  <si>
    <t>Point Value on Omega 3 Complex</t>
  </si>
  <si>
    <t>Business Volume on Maintenance</t>
  </si>
  <si>
    <t>PV on Maintenance</t>
  </si>
  <si>
    <t>Business Volume on New Clients</t>
  </si>
  <si>
    <t>PV on New Clients</t>
  </si>
  <si>
    <t>Percentage Rebate</t>
  </si>
  <si>
    <t>Business Volume on Nutriway Double X (30's)</t>
  </si>
  <si>
    <t>Point Value on Nutriway Double X (30's)</t>
  </si>
  <si>
    <t>Retail Profit on Nutriway Double X (30's)</t>
  </si>
  <si>
    <t>Total Yr 2</t>
  </si>
  <si>
    <t xml:space="preserve"> </t>
  </si>
  <si>
    <t>Retention Rate of Clients on 'Maintenance'</t>
  </si>
  <si>
    <t>Rebate Table</t>
  </si>
  <si>
    <t>Rebate %</t>
  </si>
  <si>
    <t>Total Profit including Rebates</t>
  </si>
  <si>
    <t>Weight Loss Made Simple - Scenario Analysis</t>
  </si>
  <si>
    <t>Nutriway Fibre Blend</t>
  </si>
  <si>
    <t>Retail Profit on Nutriway Fibre Blend</t>
  </si>
  <si>
    <t>Nutriway Pack (includes one FREE Omega 3)</t>
  </si>
  <si>
    <t>Retail Profit on Positrim Bars</t>
  </si>
  <si>
    <t>Business Volume on Positrim Bars</t>
  </si>
  <si>
    <t>Business Volume on Nutriway Fibre Blend</t>
  </si>
  <si>
    <t>Point Value on Nutriway Fibre Blend</t>
  </si>
  <si>
    <t>Point Value on Positrim Bars</t>
  </si>
  <si>
    <t xml:space="preserve"> - Nutriway Double X (30's)</t>
  </si>
  <si>
    <t xml:space="preserve"> - Nutriway Omega 3 Complex (90's)</t>
  </si>
  <si>
    <t xml:space="preserve"> - Nutriway Conc. Fruit &amp; Veg (60's)</t>
  </si>
  <si>
    <t>Retail Profit on Nutriway Conc. Fruit &amp; Veg (60's)</t>
  </si>
  <si>
    <t>Business Volume on Nutriway Conc. Fruit &amp; Veg (60's)</t>
  </si>
  <si>
    <t>Point Value on Nutriway Conc. Fruit &amp; Veg (60's)</t>
  </si>
  <si>
    <t>Description</t>
  </si>
  <si>
    <t>PV/BV Ratio</t>
  </si>
  <si>
    <t>Password: WLMS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</si>
</sst>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$-C09]#,##0.00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rgb="FF007600"/>
      <name val="Arial"/>
      <family val="2"/>
    </font>
    <font>
      <sz val="10"/>
      <color theme="1"/>
      <name val="Arial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theme="6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2" fontId="0" fillId="0" borderId="0" xfId="0" applyNumberFormat="1" applyBorder="1"/>
    <xf numFmtId="9" fontId="0" fillId="0" borderId="0" xfId="0" applyNumberFormat="1"/>
    <xf numFmtId="9" fontId="0" fillId="0" borderId="0" xfId="0" applyNumberFormat="1" applyBorder="1"/>
    <xf numFmtId="4" fontId="0" fillId="0" borderId="0" xfId="0" applyNumberFormat="1" applyBorder="1"/>
    <xf numFmtId="164" fontId="1" fillId="0" borderId="0" xfId="0" applyNumberFormat="1" applyFont="1"/>
    <xf numFmtId="164" fontId="1" fillId="0" borderId="9" xfId="0" applyNumberFormat="1" applyFont="1" applyBorder="1"/>
    <xf numFmtId="9" fontId="0" fillId="0" borderId="0" xfId="0" applyNumberForma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10" xfId="0" applyFont="1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1" xfId="0" applyBorder="1"/>
    <xf numFmtId="9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2" xfId="0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4" fillId="0" borderId="3" xfId="0" applyFont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0" fontId="4" fillId="0" borderId="0" xfId="0" applyFont="1"/>
    <xf numFmtId="4" fontId="4" fillId="0" borderId="0" xfId="0" applyNumberFormat="1" applyFont="1"/>
    <xf numFmtId="0" fontId="1" fillId="0" borderId="0" xfId="0" applyFont="1" applyBorder="1"/>
    <xf numFmtId="164" fontId="0" fillId="0" borderId="11" xfId="0" applyNumberFormat="1" applyBorder="1"/>
    <xf numFmtId="0" fontId="0" fillId="0" borderId="13" xfId="0" applyBorder="1" applyAlignment="1">
      <alignment horizontal="center"/>
    </xf>
    <xf numFmtId="9" fontId="0" fillId="0" borderId="14" xfId="0" applyNumberForma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9" fontId="0" fillId="2" borderId="0" xfId="0" applyNumberFormat="1" applyFill="1" applyBorder="1" applyAlignment="1" applyProtection="1">
      <alignment horizontal="center"/>
      <protection locked="0"/>
    </xf>
    <xf numFmtId="3" fontId="1" fillId="2" borderId="0" xfId="0" applyNumberFormat="1" applyFont="1" applyFill="1" applyAlignment="1" applyProtection="1">
      <alignment horizontal="center"/>
      <protection locked="0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44" fontId="0" fillId="0" borderId="0" xfId="1" applyFont="1" applyBorder="1"/>
    <xf numFmtId="0" fontId="7" fillId="3" borderId="15" xfId="0" applyFont="1" applyFill="1" applyBorder="1" applyAlignment="1">
      <alignment horizontal="center"/>
    </xf>
    <xf numFmtId="0" fontId="0" fillId="0" borderId="0" xfId="0" applyFill="1" applyBorder="1"/>
    <xf numFmtId="164" fontId="6" fillId="0" borderId="15" xfId="0" applyNumberFormat="1" applyFont="1" applyFill="1" applyBorder="1"/>
    <xf numFmtId="2" fontId="6" fillId="0" borderId="15" xfId="0" applyNumberFormat="1" applyFont="1" applyFill="1" applyBorder="1"/>
    <xf numFmtId="0" fontId="4" fillId="0" borderId="3" xfId="0" applyFont="1" applyFill="1" applyBorder="1"/>
    <xf numFmtId="164" fontId="6" fillId="0" borderId="0" xfId="0" applyNumberFormat="1" applyFont="1" applyFill="1" applyBorder="1"/>
    <xf numFmtId="2" fontId="6" fillId="0" borderId="0" xfId="0" applyNumberFormat="1" applyFont="1" applyFill="1" applyBorder="1"/>
    <xf numFmtId="44" fontId="6" fillId="0" borderId="0" xfId="1" applyNumberFormat="1" applyFont="1" applyFill="1" applyBorder="1"/>
    <xf numFmtId="0" fontId="4" fillId="0" borderId="0" xfId="0" applyFont="1" applyFill="1" applyBorder="1"/>
    <xf numFmtId="164" fontId="6" fillId="0" borderId="16" xfId="0" applyNumberFormat="1" applyFont="1" applyFill="1" applyBorder="1"/>
    <xf numFmtId="2" fontId="6" fillId="0" borderId="16" xfId="0" applyNumberFormat="1" applyFont="1" applyFill="1" applyBorder="1"/>
    <xf numFmtId="44" fontId="6" fillId="0" borderId="16" xfId="1" applyNumberFormat="1" applyFont="1" applyFill="1" applyBorder="1"/>
    <xf numFmtId="44" fontId="1" fillId="0" borderId="0" xfId="1" applyFont="1"/>
  </cellXfs>
  <cellStyles count="2">
    <cellStyle name="Currency" xfId="1" builtinId="4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$-C09]#,##0.0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$-C09]#,##0.0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$-C09]#,##0.0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theme="6"/>
          <bgColor theme="6"/>
        </patternFill>
      </fill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007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292100</xdr:colOff>
      <xdr:row>0</xdr:row>
      <xdr:rowOff>0</xdr:rowOff>
    </xdr:from>
    <xdr:to>
      <xdr:col>14</xdr:col>
      <xdr:colOff>838200</xdr:colOff>
      <xdr:row>6</xdr:row>
      <xdr:rowOff>12701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04" b="11770"/>
        <a:stretch/>
      </xdr:blipFill>
      <xdr:spPr>
        <a:xfrm>
          <a:off x="12446000" y="0"/>
          <a:ext cx="1409700" cy="1041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292100</xdr:colOff>
      <xdr:row>0</xdr:row>
      <xdr:rowOff>0</xdr:rowOff>
    </xdr:from>
    <xdr:to>
      <xdr:col>14</xdr:col>
      <xdr:colOff>838200</xdr:colOff>
      <xdr:row>6</xdr:row>
      <xdr:rowOff>12701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04" b="11770"/>
        <a:stretch/>
      </xdr:blipFill>
      <xdr:spPr>
        <a:xfrm>
          <a:off x="12446000" y="0"/>
          <a:ext cx="1409700" cy="10414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292100</xdr:colOff>
      <xdr:row>0</xdr:row>
      <xdr:rowOff>0</xdr:rowOff>
    </xdr:from>
    <xdr:to>
      <xdr:col>14</xdr:col>
      <xdr:colOff>838200</xdr:colOff>
      <xdr:row>6</xdr:row>
      <xdr:rowOff>12701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104" b="11770"/>
        <a:stretch/>
      </xdr:blipFill>
      <xdr:spPr>
        <a:xfrm>
          <a:off x="12446000" y="0"/>
          <a:ext cx="1409700" cy="10414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bate_Table" displayName="Rebate_Table" ref="A3:B10" totalsRowShown="0" headerRowDxfId="13" headerRowBorderDxfId="12" tableBorderDxfId="11" totalsRowBorderDxfId="10">
  <autoFilter ref="A3:B10"/>
  <tableColumns count="2">
    <tableColumn id="1" name="PV" dataDxfId="9"/>
    <tableColumn id="2" name="Rebate %" dataDxfId="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Products" displayName="Products" ref="A1:F8" totalsRowShown="0" headerRowDxfId="7" dataDxfId="0">
  <autoFilter ref="A1:F8"/>
  <tableColumns count="6">
    <tableColumn id="1" name="Description" dataDxfId="6"/>
    <tableColumn id="2" name="Retail" dataDxfId="5"/>
    <tableColumn id="3" name="Wholesale" dataDxfId="4"/>
    <tableColumn id="4" name="Profit" dataDxfId="3">
      <calculatedColumnFormula>B2-C2</calculatedColumnFormula>
    </tableColumn>
    <tableColumn id="5" name="PV" dataDxfId="2"/>
    <tableColumn id="6" name="BV" dataDxfId="1" dataCellStyle="Currency">
      <calculatedColumnFormula>E2*$H$1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5"/>
  <sheetViews>
    <sheetView workbookViewId="0"/>
  </sheetViews>
  <sheetFormatPr baseColWidth="10" defaultColWidth="8.83203125" defaultRowHeight="13" x14ac:dyDescent="0.15"/>
  <cols>
    <col min="1" max="1" width="39.5" bestFit="1" customWidth="1"/>
    <col min="2" max="5" width="9.33203125" bestFit="1" customWidth="1"/>
    <col min="6" max="13" width="10.33203125" bestFit="1" customWidth="1"/>
    <col min="14" max="14" width="11.33203125" bestFit="1" customWidth="1"/>
    <col min="15" max="15" width="11.1640625" bestFit="1" customWidth="1"/>
  </cols>
  <sheetData>
    <row r="1" spans="1:14" s="4" customFormat="1" ht="16" x14ac:dyDescent="0.2">
      <c r="A1" s="61" t="s">
        <v>50</v>
      </c>
    </row>
    <row r="3" spans="1:14" s="3" customFormat="1" x14ac:dyDescent="0.15">
      <c r="A3" s="24" t="s">
        <v>12</v>
      </c>
      <c r="B3" s="25"/>
      <c r="C3" s="25"/>
      <c r="D3" s="25"/>
      <c r="E3" s="25"/>
      <c r="F3" s="25"/>
      <c r="G3" s="26"/>
      <c r="H3" s="50"/>
      <c r="I3" s="50"/>
      <c r="J3" s="50"/>
      <c r="K3" s="50"/>
      <c r="L3" s="50"/>
      <c r="M3" s="50"/>
      <c r="N3" s="50"/>
    </row>
    <row r="4" spans="1:14" x14ac:dyDescent="0.15">
      <c r="A4" s="27" t="s">
        <v>15</v>
      </c>
      <c r="B4" s="58">
        <v>2</v>
      </c>
      <c r="C4" s="29" t="s">
        <v>28</v>
      </c>
      <c r="D4" s="29"/>
      <c r="E4" s="29"/>
      <c r="F4" s="29"/>
      <c r="G4" s="30"/>
      <c r="H4" s="29"/>
      <c r="I4" s="29"/>
      <c r="J4" s="29"/>
      <c r="K4" s="29"/>
      <c r="L4" s="29"/>
      <c r="M4" s="29"/>
      <c r="N4" s="29"/>
    </row>
    <row r="5" spans="1:14" x14ac:dyDescent="0.15">
      <c r="A5" s="27" t="s">
        <v>15</v>
      </c>
      <c r="B5" s="58">
        <v>1</v>
      </c>
      <c r="C5" s="29" t="s">
        <v>29</v>
      </c>
      <c r="D5" s="29"/>
      <c r="E5" s="29"/>
      <c r="F5" s="29"/>
      <c r="G5" s="30"/>
      <c r="H5" s="29"/>
      <c r="I5" s="29"/>
      <c r="J5" s="29"/>
      <c r="K5" s="29"/>
      <c r="L5" s="29"/>
      <c r="M5" s="29"/>
      <c r="N5" s="29"/>
    </row>
    <row r="6" spans="1:14" x14ac:dyDescent="0.15">
      <c r="A6" s="27"/>
      <c r="B6" s="29"/>
      <c r="C6" s="29"/>
      <c r="D6" s="29"/>
      <c r="E6" s="29"/>
      <c r="F6" s="29"/>
      <c r="G6" s="30"/>
      <c r="H6" s="29"/>
      <c r="I6" s="29"/>
      <c r="J6" s="29"/>
      <c r="K6" s="29"/>
      <c r="L6" s="29"/>
      <c r="M6" s="29"/>
      <c r="N6" s="29"/>
    </row>
    <row r="7" spans="1:14" x14ac:dyDescent="0.15">
      <c r="A7" s="27" t="s">
        <v>46</v>
      </c>
      <c r="B7" s="59">
        <v>0.7</v>
      </c>
      <c r="C7" s="29"/>
      <c r="D7" s="29"/>
      <c r="E7" s="29"/>
      <c r="F7" s="29"/>
      <c r="G7" s="30"/>
      <c r="H7" s="29"/>
      <c r="I7" s="29"/>
      <c r="J7" s="29"/>
      <c r="K7" s="29"/>
      <c r="L7" s="29"/>
      <c r="M7" s="29"/>
      <c r="N7" s="29"/>
    </row>
    <row r="8" spans="1:14" x14ac:dyDescent="0.15">
      <c r="A8" s="27"/>
      <c r="B8" s="29"/>
      <c r="C8" s="29"/>
      <c r="D8" s="29"/>
      <c r="E8" s="29"/>
      <c r="F8" s="29"/>
      <c r="G8" s="30"/>
      <c r="H8" s="29"/>
      <c r="I8" s="29"/>
      <c r="J8" s="29"/>
      <c r="K8" s="29"/>
      <c r="L8" s="29"/>
      <c r="M8" s="29"/>
      <c r="N8" s="29"/>
    </row>
    <row r="9" spans="1:14" s="35" customFormat="1" ht="12" x14ac:dyDescent="0.15">
      <c r="A9" s="36"/>
      <c r="B9" s="37" t="s">
        <v>19</v>
      </c>
      <c r="C9" s="37" t="s">
        <v>20</v>
      </c>
      <c r="D9" s="37" t="s">
        <v>21</v>
      </c>
      <c r="E9" s="37" t="s">
        <v>22</v>
      </c>
      <c r="F9" s="37" t="s">
        <v>27</v>
      </c>
      <c r="G9" s="38"/>
      <c r="H9" s="37"/>
      <c r="I9" s="37"/>
      <c r="J9" s="37"/>
      <c r="K9" s="37"/>
      <c r="L9" s="37"/>
      <c r="M9" s="37"/>
      <c r="N9" s="37"/>
    </row>
    <row r="10" spans="1:14" x14ac:dyDescent="0.15">
      <c r="A10" s="27" t="s">
        <v>24</v>
      </c>
      <c r="B10" s="11">
        <f>VLOOKUP($A10,Products[],2,0)</f>
        <v>85</v>
      </c>
      <c r="C10" s="11">
        <f>VLOOKUP($A10,Products[],3,0)</f>
        <v>72</v>
      </c>
      <c r="D10" s="11">
        <f>B10-C10</f>
        <v>13</v>
      </c>
      <c r="E10" s="17"/>
      <c r="F10" s="17"/>
      <c r="G10" s="30"/>
      <c r="H10" s="29"/>
      <c r="I10" s="29"/>
      <c r="J10" s="29"/>
      <c r="K10" s="29"/>
      <c r="L10" s="29"/>
      <c r="M10" s="29"/>
      <c r="N10" s="29"/>
    </row>
    <row r="11" spans="1:14" x14ac:dyDescent="0.15">
      <c r="A11" s="45" t="s">
        <v>53</v>
      </c>
      <c r="B11" s="11">
        <f>VLOOKUP($A11,Products[],2,0)</f>
        <v>224.95</v>
      </c>
      <c r="C11" s="11">
        <f>VLOOKUP($A11,Products[],3,0)</f>
        <v>168.83</v>
      </c>
      <c r="D11" s="46">
        <f>B11-C11</f>
        <v>56.119999999999976</v>
      </c>
      <c r="E11" s="47">
        <f>VLOOKUP($A11,Products[],5,0)</f>
        <v>39.35</v>
      </c>
      <c r="F11" s="11">
        <f>VLOOKUP($A11,Products[],6,0)</f>
        <v>153.465</v>
      </c>
      <c r="G11" s="30"/>
      <c r="H11" s="29"/>
      <c r="I11" s="29"/>
      <c r="J11" s="29"/>
      <c r="K11" s="29"/>
      <c r="L11" s="29"/>
      <c r="M11" s="29"/>
      <c r="N11" s="29"/>
    </row>
    <row r="12" spans="1:14" x14ac:dyDescent="0.15">
      <c r="A12" s="45" t="s">
        <v>59</v>
      </c>
      <c r="B12" s="11">
        <f>VLOOKUP($A12,Products[],2,0)</f>
        <v>133.05000000000001</v>
      </c>
      <c r="C12" s="11">
        <f>VLOOKUP($A12,Products[],3,0)</f>
        <v>98.57</v>
      </c>
      <c r="D12" s="11">
        <f t="shared" ref="D12:D14" si="0">B12-C12</f>
        <v>34.480000000000018</v>
      </c>
      <c r="E12" s="47">
        <f>VLOOKUP($A12,Products[],5,0)</f>
        <v>22.98</v>
      </c>
      <c r="F12" s="11">
        <f>VLOOKUP($A12,Products[],6,0)</f>
        <v>89.622</v>
      </c>
      <c r="G12" s="30"/>
      <c r="H12" s="29"/>
      <c r="I12" s="29"/>
      <c r="J12" s="29"/>
      <c r="K12" s="29"/>
      <c r="L12" s="29"/>
      <c r="M12" s="29"/>
      <c r="N12" s="29"/>
    </row>
    <row r="13" spans="1:14" x14ac:dyDescent="0.15">
      <c r="A13" s="45" t="s">
        <v>61</v>
      </c>
      <c r="B13" s="11">
        <f>VLOOKUP($A13,Products[],2,0)</f>
        <v>55.61</v>
      </c>
      <c r="C13" s="11">
        <f>VLOOKUP($A13,Products[],3,0)</f>
        <v>41.18</v>
      </c>
      <c r="D13" s="46">
        <f>B13-C13</f>
        <v>14.43</v>
      </c>
      <c r="E13" s="47">
        <f>VLOOKUP($A13,Products[],5,0)</f>
        <v>9.6</v>
      </c>
      <c r="F13" s="11">
        <f>VLOOKUP($A13,Products[],6,0)</f>
        <v>37.44</v>
      </c>
      <c r="G13" s="51"/>
      <c r="H13" s="29"/>
      <c r="I13" s="28"/>
      <c r="J13" s="31"/>
      <c r="K13" s="29"/>
      <c r="L13" s="29"/>
      <c r="M13" s="29"/>
      <c r="N13" s="29"/>
    </row>
    <row r="14" spans="1:14" x14ac:dyDescent="0.15">
      <c r="A14" s="45" t="s">
        <v>60</v>
      </c>
      <c r="B14" s="11">
        <f>VLOOKUP($A14,Products[],2,0)</f>
        <v>36.36</v>
      </c>
      <c r="C14" s="11">
        <f>VLOOKUP($A14,Products[],3,0)</f>
        <v>29.08</v>
      </c>
      <c r="D14" s="11">
        <f t="shared" si="0"/>
        <v>7.2800000000000011</v>
      </c>
      <c r="E14" s="47">
        <f>VLOOKUP($A14,Products[],5,0)</f>
        <v>7.28</v>
      </c>
      <c r="F14" s="11">
        <f>VLOOKUP($A14,Products[],6,0)</f>
        <v>28.391999999999999</v>
      </c>
      <c r="G14" s="30"/>
      <c r="H14" s="29"/>
      <c r="I14" s="29"/>
      <c r="J14" s="29"/>
      <c r="K14" s="29"/>
      <c r="L14" s="29"/>
      <c r="M14" s="29"/>
      <c r="N14" s="29"/>
    </row>
    <row r="15" spans="1:14" x14ac:dyDescent="0.15">
      <c r="A15" s="45" t="s">
        <v>51</v>
      </c>
      <c r="B15" s="11">
        <f>VLOOKUP($A15,Products[],2,0)</f>
        <v>52.86</v>
      </c>
      <c r="C15" s="11">
        <f>VLOOKUP($A15,Products[],3,0)</f>
        <v>39.15</v>
      </c>
      <c r="D15" s="11">
        <f>B15-C15</f>
        <v>13.71</v>
      </c>
      <c r="E15" s="47">
        <f>VLOOKUP($A15,Products[],5,0)</f>
        <v>9.1199999999999992</v>
      </c>
      <c r="F15" s="11">
        <f>VLOOKUP($A15,Products[],6,0)</f>
        <v>35.567999999999998</v>
      </c>
      <c r="G15" s="30"/>
      <c r="H15" s="29"/>
      <c r="I15" s="29"/>
      <c r="J15" s="29"/>
      <c r="K15" s="29"/>
      <c r="L15" s="29"/>
      <c r="M15" s="29"/>
      <c r="N15" s="29"/>
    </row>
    <row r="16" spans="1:14" x14ac:dyDescent="0.15">
      <c r="A16" s="27" t="s">
        <v>23</v>
      </c>
      <c r="B16" s="11">
        <f>VLOOKUP($A16,Products[],2,0)</f>
        <v>69.45</v>
      </c>
      <c r="C16" s="11">
        <f>VLOOKUP($A16,Products[],3,0)</f>
        <v>55.54</v>
      </c>
      <c r="D16" s="11">
        <f>B16-C16</f>
        <v>13.910000000000004</v>
      </c>
      <c r="E16" s="47">
        <f>VLOOKUP($A16,Products[],5,0)</f>
        <v>12.95</v>
      </c>
      <c r="F16" s="11">
        <f>VLOOKUP($A16,Products[],6,0)</f>
        <v>50.504999999999995</v>
      </c>
      <c r="G16" s="30"/>
      <c r="H16" s="29"/>
      <c r="I16" s="29"/>
      <c r="J16" s="29"/>
      <c r="K16" s="29"/>
      <c r="L16" s="29"/>
      <c r="M16" s="29"/>
      <c r="N16" s="29"/>
    </row>
    <row r="17" spans="1:15" x14ac:dyDescent="0.15">
      <c r="A17" s="32"/>
      <c r="B17" s="33"/>
      <c r="C17" s="13"/>
      <c r="D17" s="33"/>
      <c r="E17" s="33"/>
      <c r="F17" s="33"/>
      <c r="G17" s="34"/>
      <c r="H17" s="29"/>
      <c r="I17" s="28"/>
      <c r="J17" s="31"/>
      <c r="K17" s="29"/>
      <c r="L17" s="29"/>
      <c r="M17" s="29"/>
      <c r="N17" s="29"/>
    </row>
    <row r="18" spans="1:15" x14ac:dyDescent="0.15">
      <c r="C18" s="5"/>
      <c r="D18" s="5"/>
      <c r="I18" s="1"/>
      <c r="J18" s="23"/>
    </row>
    <row r="19" spans="1:15" x14ac:dyDescent="0.15">
      <c r="I19" s="1"/>
      <c r="J19" s="23"/>
    </row>
    <row r="20" spans="1:15" s="3" customFormat="1" x14ac:dyDescent="0.15">
      <c r="A20" s="3" t="s">
        <v>31</v>
      </c>
      <c r="B20" s="60">
        <v>3</v>
      </c>
      <c r="C20" s="3" t="s">
        <v>32</v>
      </c>
    </row>
    <row r="22" spans="1:15" s="2" customFormat="1" x14ac:dyDescent="0.15"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  <c r="H22" s="2" t="s">
        <v>6</v>
      </c>
      <c r="I22" s="2" t="s">
        <v>7</v>
      </c>
      <c r="J22" s="2" t="s">
        <v>8</v>
      </c>
      <c r="K22" s="2" t="s">
        <v>9</v>
      </c>
      <c r="L22" s="2" t="s">
        <v>10</v>
      </c>
      <c r="M22" s="2" t="s">
        <v>11</v>
      </c>
      <c r="N22" s="2" t="s">
        <v>33</v>
      </c>
      <c r="O22" s="2" t="s">
        <v>44</v>
      </c>
    </row>
    <row r="23" spans="1:15" x14ac:dyDescent="0.15">
      <c r="A23" t="s">
        <v>14</v>
      </c>
      <c r="B23" s="7">
        <f>$B$20</f>
        <v>3</v>
      </c>
      <c r="C23" s="7">
        <f t="shared" ref="C23:M23" si="1">$B$20</f>
        <v>3</v>
      </c>
      <c r="D23" s="7">
        <f t="shared" si="1"/>
        <v>3</v>
      </c>
      <c r="E23" s="7">
        <f t="shared" si="1"/>
        <v>3</v>
      </c>
      <c r="F23" s="7">
        <f t="shared" si="1"/>
        <v>3</v>
      </c>
      <c r="G23" s="7">
        <f t="shared" si="1"/>
        <v>3</v>
      </c>
      <c r="H23" s="7">
        <f t="shared" si="1"/>
        <v>3</v>
      </c>
      <c r="I23" s="7">
        <f t="shared" si="1"/>
        <v>3</v>
      </c>
      <c r="J23" s="7">
        <f t="shared" si="1"/>
        <v>3</v>
      </c>
      <c r="K23" s="7">
        <f t="shared" si="1"/>
        <v>3</v>
      </c>
      <c r="L23" s="7">
        <f t="shared" si="1"/>
        <v>3</v>
      </c>
      <c r="M23" s="7">
        <f t="shared" si="1"/>
        <v>3</v>
      </c>
    </row>
    <row r="24" spans="1:15" x14ac:dyDescent="0.15">
      <c r="A24" t="s">
        <v>13</v>
      </c>
      <c r="B24" s="1"/>
      <c r="C24" s="1">
        <f>B23*$B$7</f>
        <v>2.0999999999999996</v>
      </c>
      <c r="D24" s="7">
        <f>C23+(C24*$B$7)</f>
        <v>4.47</v>
      </c>
      <c r="E24" s="7">
        <f t="shared" ref="E24:L24" si="2">D23+(D24*$B$7)</f>
        <v>6.1289999999999996</v>
      </c>
      <c r="F24" s="7">
        <f t="shared" si="2"/>
        <v>7.2902999999999993</v>
      </c>
      <c r="G24" s="7">
        <f t="shared" si="2"/>
        <v>8.1032099999999989</v>
      </c>
      <c r="H24" s="7">
        <f t="shared" si="2"/>
        <v>8.6722469999999987</v>
      </c>
      <c r="I24" s="7">
        <f t="shared" si="2"/>
        <v>9.0705728999999984</v>
      </c>
      <c r="J24" s="7">
        <f t="shared" si="2"/>
        <v>9.3494010299999992</v>
      </c>
      <c r="K24" s="7">
        <f t="shared" si="2"/>
        <v>9.5445807209999991</v>
      </c>
      <c r="L24" s="7">
        <f t="shared" si="2"/>
        <v>9.6812065046999987</v>
      </c>
      <c r="M24" s="7">
        <f>L23+(L24*$B$7)</f>
        <v>9.7768445532899975</v>
      </c>
    </row>
    <row r="25" spans="1:15" x14ac:dyDescent="0.15">
      <c r="F25" t="s">
        <v>45</v>
      </c>
    </row>
    <row r="26" spans="1:15" s="3" customFormat="1" x14ac:dyDescent="0.15">
      <c r="A26" s="3" t="s">
        <v>16</v>
      </c>
      <c r="B26" s="21">
        <f>B23*(SUM($D$10:$D$15)+($B$4*30*$D$16/9))</f>
        <v>695.26000000000022</v>
      </c>
      <c r="C26" s="21">
        <f t="shared" ref="C26:M26" si="3">C23*(SUM($D$10:$D$15)+($B$4*30*$D$16/9))</f>
        <v>695.26000000000022</v>
      </c>
      <c r="D26" s="21">
        <f t="shared" si="3"/>
        <v>695.26000000000022</v>
      </c>
      <c r="E26" s="21">
        <f t="shared" si="3"/>
        <v>695.26000000000022</v>
      </c>
      <c r="F26" s="21">
        <f t="shared" si="3"/>
        <v>695.26000000000022</v>
      </c>
      <c r="G26" s="21">
        <f t="shared" si="3"/>
        <v>695.26000000000022</v>
      </c>
      <c r="H26" s="21">
        <f t="shared" si="3"/>
        <v>695.26000000000022</v>
      </c>
      <c r="I26" s="21">
        <f t="shared" si="3"/>
        <v>695.26000000000022</v>
      </c>
      <c r="J26" s="21">
        <f t="shared" si="3"/>
        <v>695.26000000000022</v>
      </c>
      <c r="K26" s="21">
        <f t="shared" si="3"/>
        <v>695.26000000000022</v>
      </c>
      <c r="L26" s="21">
        <f t="shared" si="3"/>
        <v>695.26000000000022</v>
      </c>
      <c r="M26" s="21">
        <f t="shared" si="3"/>
        <v>695.26000000000022</v>
      </c>
      <c r="N26" s="21">
        <f>SUM(B26:M26)</f>
        <v>8343.1200000000026</v>
      </c>
      <c r="O26" s="21">
        <f>M26*12</f>
        <v>8343.1200000000026</v>
      </c>
    </row>
    <row r="27" spans="1:15" s="3" customFormat="1" x14ac:dyDescent="0.15">
      <c r="A27" s="3" t="s">
        <v>17</v>
      </c>
      <c r="B27" s="21">
        <f t="shared" ref="B27:M27" si="4">SUM(B28:B32)</f>
        <v>0</v>
      </c>
      <c r="C27" s="21">
        <f t="shared" si="4"/>
        <v>146.05500000000004</v>
      </c>
      <c r="D27" s="21">
        <f t="shared" si="4"/>
        <v>393.70550000000009</v>
      </c>
      <c r="E27" s="21">
        <f t="shared" si="4"/>
        <v>617.84185000000014</v>
      </c>
      <c r="F27" s="21">
        <f t="shared" si="4"/>
        <v>781.28929500000015</v>
      </c>
      <c r="G27" s="21">
        <f t="shared" si="4"/>
        <v>895.70250650000014</v>
      </c>
      <c r="H27" s="21">
        <f t="shared" si="4"/>
        <v>975.79175455000018</v>
      </c>
      <c r="I27" s="21">
        <f t="shared" si="4"/>
        <v>1031.854228185</v>
      </c>
      <c r="J27" s="21">
        <f t="shared" si="4"/>
        <v>1071.0979597295002</v>
      </c>
      <c r="K27" s="21">
        <f t="shared" si="4"/>
        <v>1098.5685718106504</v>
      </c>
      <c r="L27" s="21">
        <f>SUM(L28:L32)</f>
        <v>1117.7980002674553</v>
      </c>
      <c r="M27" s="21">
        <f t="shared" si="4"/>
        <v>1131.2586001872185</v>
      </c>
      <c r="N27" s="21">
        <f>SUM(B27:M27)</f>
        <v>9260.9632662298245</v>
      </c>
      <c r="O27" s="21">
        <f>M27*12</f>
        <v>13575.103202246621</v>
      </c>
    </row>
    <row r="28" spans="1:15" x14ac:dyDescent="0.15">
      <c r="A28" s="48" t="s">
        <v>54</v>
      </c>
      <c r="B28" s="8"/>
      <c r="C28" s="9">
        <f>(C$24*($B$4*15*$D$16/9))+(C$24*($B$5*15*$D$16/9))</f>
        <v>146.05500000000004</v>
      </c>
      <c r="D28" s="9">
        <f t="shared" ref="D28:M28" si="5">(((D$24-C$24)*($B$4*15*$D$16/9))+((D$24-C$24)*($B$5*15*$D$16/9)))+(C$24*($B$5*30*$D$16/9))</f>
        <v>262.20350000000008</v>
      </c>
      <c r="E28" s="9">
        <f t="shared" si="5"/>
        <v>322.64245000000005</v>
      </c>
      <c r="F28" s="9">
        <f t="shared" si="5"/>
        <v>364.94971500000008</v>
      </c>
      <c r="G28" s="9">
        <f t="shared" si="5"/>
        <v>394.5648005000001</v>
      </c>
      <c r="H28" s="9">
        <f t="shared" si="5"/>
        <v>415.29536035000007</v>
      </c>
      <c r="I28" s="9">
        <f t="shared" si="5"/>
        <v>429.8067522450001</v>
      </c>
      <c r="J28" s="9">
        <f t="shared" si="5"/>
        <v>439.96472657150008</v>
      </c>
      <c r="K28" s="9">
        <f t="shared" si="5"/>
        <v>447.07530860005011</v>
      </c>
      <c r="L28" s="9">
        <f t="shared" si="5"/>
        <v>452.05271602003506</v>
      </c>
      <c r="M28" s="9">
        <f t="shared" si="5"/>
        <v>455.53690121402451</v>
      </c>
      <c r="N28" s="14">
        <f t="shared" ref="N28:N32" si="6">SUM(B28:M28)</f>
        <v>4130.14723050061</v>
      </c>
    </row>
    <row r="29" spans="1:15" x14ac:dyDescent="0.15">
      <c r="A29" t="s">
        <v>43</v>
      </c>
      <c r="B29" s="10"/>
      <c r="C29" s="11"/>
      <c r="D29" s="11">
        <f t="shared" ref="D29:M29" si="7">C$24*$D$12</f>
        <v>72.40800000000003</v>
      </c>
      <c r="E29" s="11">
        <f t="shared" si="7"/>
        <v>154.12560000000008</v>
      </c>
      <c r="F29" s="11">
        <f t="shared" si="7"/>
        <v>211.32792000000009</v>
      </c>
      <c r="G29" s="11">
        <f t="shared" si="7"/>
        <v>251.3695440000001</v>
      </c>
      <c r="H29" s="11">
        <f t="shared" si="7"/>
        <v>279.39868080000014</v>
      </c>
      <c r="I29" s="11">
        <f t="shared" si="7"/>
        <v>299.01907656000009</v>
      </c>
      <c r="J29" s="11">
        <f t="shared" si="7"/>
        <v>312.75335359200011</v>
      </c>
      <c r="K29" s="11">
        <f t="shared" si="7"/>
        <v>322.36734751440014</v>
      </c>
      <c r="L29" s="11">
        <f t="shared" si="7"/>
        <v>329.09714326008014</v>
      </c>
      <c r="M29" s="11">
        <f t="shared" si="7"/>
        <v>333.80800028205613</v>
      </c>
      <c r="N29" s="15">
        <f t="shared" si="6"/>
        <v>2565.6746660085369</v>
      </c>
    </row>
    <row r="30" spans="1:15" x14ac:dyDescent="0.15">
      <c r="A30" s="48" t="s">
        <v>62</v>
      </c>
      <c r="B30" s="10"/>
      <c r="C30" s="11"/>
      <c r="D30" s="11">
        <f>C$24*$D$13</f>
        <v>30.302999999999994</v>
      </c>
      <c r="E30" s="11">
        <f t="shared" ref="E30:M30" si="8">D$24*$D$13</f>
        <v>64.502099999999999</v>
      </c>
      <c r="F30" s="11">
        <f t="shared" si="8"/>
        <v>88.441469999999995</v>
      </c>
      <c r="G30" s="11">
        <f t="shared" si="8"/>
        <v>105.19902899999998</v>
      </c>
      <c r="H30" s="11">
        <f t="shared" si="8"/>
        <v>116.92932029999999</v>
      </c>
      <c r="I30" s="11">
        <f t="shared" si="8"/>
        <v>125.14052420999998</v>
      </c>
      <c r="J30" s="11">
        <f t="shared" si="8"/>
        <v>130.88836694699998</v>
      </c>
      <c r="K30" s="11">
        <f t="shared" si="8"/>
        <v>134.91185686289998</v>
      </c>
      <c r="L30" s="11">
        <f t="shared" si="8"/>
        <v>137.72829980402997</v>
      </c>
      <c r="M30" s="11">
        <f t="shared" si="8"/>
        <v>139.69980986282098</v>
      </c>
      <c r="N30" s="15">
        <f>SUM(B30:M30)</f>
        <v>1073.7437769867508</v>
      </c>
    </row>
    <row r="31" spans="1:15" x14ac:dyDescent="0.15">
      <c r="A31" s="48" t="s">
        <v>52</v>
      </c>
      <c r="B31" s="10"/>
      <c r="C31" s="11"/>
      <c r="D31" s="11">
        <f t="shared" ref="D31:M31" si="9">C$24*$D$15</f>
        <v>28.790999999999997</v>
      </c>
      <c r="E31" s="11">
        <f t="shared" si="9"/>
        <v>61.283700000000003</v>
      </c>
      <c r="F31" s="11">
        <f t="shared" si="9"/>
        <v>84.028589999999994</v>
      </c>
      <c r="G31" s="11">
        <f t="shared" si="9"/>
        <v>99.950012999999998</v>
      </c>
      <c r="H31" s="11">
        <f t="shared" si="9"/>
        <v>111.0950091</v>
      </c>
      <c r="I31" s="11">
        <f t="shared" si="9"/>
        <v>118.89650636999998</v>
      </c>
      <c r="J31" s="11">
        <f t="shared" si="9"/>
        <v>124.35755445899999</v>
      </c>
      <c r="K31" s="11">
        <f t="shared" si="9"/>
        <v>128.18028812130001</v>
      </c>
      <c r="L31" s="11">
        <f t="shared" si="9"/>
        <v>130.85620168490999</v>
      </c>
      <c r="M31" s="11">
        <f t="shared" si="9"/>
        <v>132.729341179437</v>
      </c>
      <c r="N31" s="15">
        <f t="shared" si="6"/>
        <v>1020.1682039146471</v>
      </c>
    </row>
    <row r="32" spans="1:15" x14ac:dyDescent="0.15">
      <c r="A32" t="s">
        <v>30</v>
      </c>
      <c r="B32" s="12"/>
      <c r="C32" s="13"/>
      <c r="D32" s="13"/>
      <c r="E32" s="13">
        <f t="shared" ref="E32:M32" si="10">C$24*$D$14</f>
        <v>15.288</v>
      </c>
      <c r="F32" s="13">
        <f t="shared" si="10"/>
        <v>32.541600000000003</v>
      </c>
      <c r="G32" s="13">
        <f t="shared" si="10"/>
        <v>44.619120000000002</v>
      </c>
      <c r="H32" s="13">
        <f t="shared" si="10"/>
        <v>53.073384000000004</v>
      </c>
      <c r="I32" s="13">
        <f t="shared" si="10"/>
        <v>58.991368800000004</v>
      </c>
      <c r="J32" s="13">
        <f t="shared" si="10"/>
        <v>63.133958159999999</v>
      </c>
      <c r="K32" s="13">
        <f t="shared" si="10"/>
        <v>66.033770711999992</v>
      </c>
      <c r="L32" s="13">
        <f t="shared" si="10"/>
        <v>68.063639498400008</v>
      </c>
      <c r="M32" s="13">
        <f t="shared" si="10"/>
        <v>69.48454764888001</v>
      </c>
      <c r="N32" s="16">
        <f t="shared" si="6"/>
        <v>471.22938881927996</v>
      </c>
    </row>
    <row r="33" spans="1:14" x14ac:dyDescent="0.1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15">
      <c r="A34" t="s">
        <v>26</v>
      </c>
      <c r="B34" s="20">
        <f>SUM(B35:B36)</f>
        <v>2043.5609999999997</v>
      </c>
      <c r="C34" s="20">
        <f t="shared" ref="C34:M34" si="11">SUM(C35:C36)</f>
        <v>2573.8634999999995</v>
      </c>
      <c r="D34" s="20">
        <f t="shared" si="11"/>
        <v>3337.1032499999997</v>
      </c>
      <c r="E34" s="20">
        <f t="shared" si="11"/>
        <v>4001.6037749999996</v>
      </c>
      <c r="F34" s="20">
        <f t="shared" si="11"/>
        <v>4492.3069424999994</v>
      </c>
      <c r="G34" s="20">
        <f t="shared" si="11"/>
        <v>4835.7991597499986</v>
      </c>
      <c r="H34" s="20">
        <f t="shared" si="11"/>
        <v>5076.2437118249991</v>
      </c>
      <c r="I34" s="20">
        <f t="shared" si="11"/>
        <v>5244.554898277499</v>
      </c>
      <c r="J34" s="20">
        <f t="shared" si="11"/>
        <v>5362.3727287942493</v>
      </c>
      <c r="K34" s="20">
        <f t="shared" si="11"/>
        <v>5444.8452101559742</v>
      </c>
      <c r="L34" s="20">
        <f t="shared" si="11"/>
        <v>5502.5759471091815</v>
      </c>
      <c r="M34" s="20">
        <f t="shared" si="11"/>
        <v>5542.9874629764272</v>
      </c>
      <c r="N34" s="11"/>
    </row>
    <row r="35" spans="1:14" s="39" customFormat="1" x14ac:dyDescent="0.15">
      <c r="A35" s="39" t="s">
        <v>38</v>
      </c>
      <c r="B35" s="39">
        <f>B23*(SUM($F$10:$F$15)+($B$4*30*$F$16/9))</f>
        <v>2043.5609999999997</v>
      </c>
      <c r="C35" s="39">
        <f t="shared" ref="C35:M35" si="12">C23*(SUM($F$10:$F$15)+($B$4*30*$F$16/9))</f>
        <v>2043.5609999999997</v>
      </c>
      <c r="D35" s="39">
        <f t="shared" si="12"/>
        <v>2043.5609999999997</v>
      </c>
      <c r="E35" s="39">
        <f t="shared" si="12"/>
        <v>2043.5609999999997</v>
      </c>
      <c r="F35" s="39">
        <f t="shared" si="12"/>
        <v>2043.5609999999997</v>
      </c>
      <c r="G35" s="39">
        <f t="shared" si="12"/>
        <v>2043.5609999999997</v>
      </c>
      <c r="H35" s="39">
        <f t="shared" si="12"/>
        <v>2043.5609999999997</v>
      </c>
      <c r="I35" s="39">
        <f t="shared" si="12"/>
        <v>2043.5609999999997</v>
      </c>
      <c r="J35" s="39">
        <f t="shared" si="12"/>
        <v>2043.5609999999997</v>
      </c>
      <c r="K35" s="39">
        <f t="shared" si="12"/>
        <v>2043.5609999999997</v>
      </c>
      <c r="L35" s="39">
        <f t="shared" si="12"/>
        <v>2043.5609999999997</v>
      </c>
      <c r="M35" s="39">
        <f t="shared" si="12"/>
        <v>2043.5609999999997</v>
      </c>
      <c r="N35" s="20"/>
    </row>
    <row r="36" spans="1:14" s="39" customFormat="1" x14ac:dyDescent="0.15">
      <c r="A36" s="39" t="s">
        <v>36</v>
      </c>
      <c r="B36" s="39">
        <f>SUM(B37:B41)</f>
        <v>0</v>
      </c>
      <c r="C36" s="39">
        <f t="shared" ref="C36:M36" si="13">SUM(C37:C41)</f>
        <v>530.3024999999999</v>
      </c>
      <c r="D36" s="39">
        <f t="shared" si="13"/>
        <v>1293.54225</v>
      </c>
      <c r="E36" s="39">
        <f t="shared" si="13"/>
        <v>1958.0427749999999</v>
      </c>
      <c r="F36" s="39">
        <f t="shared" si="13"/>
        <v>2448.7459424999997</v>
      </c>
      <c r="G36" s="39">
        <f t="shared" si="13"/>
        <v>2792.2381597499993</v>
      </c>
      <c r="H36" s="39">
        <f t="shared" si="13"/>
        <v>3032.6827118249994</v>
      </c>
      <c r="I36" s="39">
        <f t="shared" si="13"/>
        <v>3200.9938982774993</v>
      </c>
      <c r="J36" s="39">
        <f t="shared" si="13"/>
        <v>3318.81172879425</v>
      </c>
      <c r="K36" s="39">
        <f t="shared" si="13"/>
        <v>3401.2842101559745</v>
      </c>
      <c r="L36" s="39">
        <f t="shared" si="13"/>
        <v>3459.0149471091818</v>
      </c>
      <c r="M36" s="39">
        <f t="shared" si="13"/>
        <v>3499.426462976427</v>
      </c>
      <c r="N36" s="20"/>
    </row>
    <row r="37" spans="1:14" s="39" customFormat="1" x14ac:dyDescent="0.15">
      <c r="A37" s="49" t="s">
        <v>55</v>
      </c>
      <c r="B37" s="40"/>
      <c r="C37" s="41">
        <f>(C$24*($B$4*15*$F$16/9))+(C$24*($B$5*15*$F$16/9))</f>
        <v>530.3024999999999</v>
      </c>
      <c r="D37" s="41">
        <f t="shared" ref="D37:M37" si="14">(((D$24-C$24)*($B$4*15*$F$16/9))+((D$24-C$24)*($B$5*15*$F$16/9)))+(C$24*($B$5*30*$F$16/9))</f>
        <v>952.01924999999983</v>
      </c>
      <c r="E37" s="41">
        <f t="shared" si="14"/>
        <v>1171.463475</v>
      </c>
      <c r="F37" s="41">
        <f t="shared" si="14"/>
        <v>1325.0744324999998</v>
      </c>
      <c r="G37" s="41">
        <f t="shared" si="14"/>
        <v>1432.6021027499996</v>
      </c>
      <c r="H37" s="41">
        <f t="shared" si="14"/>
        <v>1507.8714719249997</v>
      </c>
      <c r="I37" s="41">
        <f t="shared" si="14"/>
        <v>1560.5600303474998</v>
      </c>
      <c r="J37" s="41">
        <f t="shared" si="14"/>
        <v>1597.4420212432499</v>
      </c>
      <c r="K37" s="41">
        <f t="shared" si="14"/>
        <v>1623.2594148702749</v>
      </c>
      <c r="L37" s="41">
        <f t="shared" si="14"/>
        <v>1641.3315904091921</v>
      </c>
      <c r="M37" s="41">
        <f t="shared" si="14"/>
        <v>1653.9821132864342</v>
      </c>
      <c r="N37" s="42"/>
    </row>
    <row r="38" spans="1:14" s="39" customFormat="1" x14ac:dyDescent="0.15">
      <c r="A38" s="39" t="s">
        <v>41</v>
      </c>
      <c r="B38" s="42"/>
      <c r="C38" s="20"/>
      <c r="D38" s="20">
        <f t="shared" ref="D38:M38" si="15">C$24*$F$12</f>
        <v>188.20619999999997</v>
      </c>
      <c r="E38" s="20">
        <f t="shared" si="15"/>
        <v>400.61033999999995</v>
      </c>
      <c r="F38" s="20">
        <f t="shared" si="15"/>
        <v>549.29323799999997</v>
      </c>
      <c r="G38" s="20">
        <f t="shared" si="15"/>
        <v>653.3712665999999</v>
      </c>
      <c r="H38" s="20">
        <f t="shared" si="15"/>
        <v>726.22588661999987</v>
      </c>
      <c r="I38" s="20">
        <f t="shared" si="15"/>
        <v>777.22412063399986</v>
      </c>
      <c r="J38" s="20">
        <f t="shared" si="15"/>
        <v>812.92288444379983</v>
      </c>
      <c r="K38" s="20">
        <f t="shared" si="15"/>
        <v>837.91201911065991</v>
      </c>
      <c r="L38" s="20">
        <f t="shared" si="15"/>
        <v>855.40441337746188</v>
      </c>
      <c r="M38" s="20">
        <f t="shared" si="15"/>
        <v>867.6490893642233</v>
      </c>
      <c r="N38" s="42"/>
    </row>
    <row r="39" spans="1:14" x14ac:dyDescent="0.15">
      <c r="A39" s="48" t="s">
        <v>63</v>
      </c>
      <c r="B39" s="10"/>
      <c r="C39" s="11"/>
      <c r="D39" s="17">
        <f>C$24*$F$13</f>
        <v>78.623999999999981</v>
      </c>
      <c r="E39" s="17">
        <f t="shared" ref="E39:M39" si="16">D$24*$F$13</f>
        <v>167.35679999999999</v>
      </c>
      <c r="F39" s="17">
        <f t="shared" si="16"/>
        <v>229.46975999999998</v>
      </c>
      <c r="G39" s="17">
        <f t="shared" si="16"/>
        <v>272.94883199999998</v>
      </c>
      <c r="H39" s="17">
        <f t="shared" si="16"/>
        <v>303.38418239999993</v>
      </c>
      <c r="I39" s="17">
        <f t="shared" si="16"/>
        <v>324.68892767999995</v>
      </c>
      <c r="J39" s="17">
        <f t="shared" si="16"/>
        <v>339.60224937599992</v>
      </c>
      <c r="K39" s="17">
        <f t="shared" si="16"/>
        <v>350.04157456319996</v>
      </c>
      <c r="L39" s="17">
        <f t="shared" si="16"/>
        <v>357.34910219423995</v>
      </c>
      <c r="M39" s="17">
        <f t="shared" si="16"/>
        <v>362.46437153596793</v>
      </c>
      <c r="N39" s="10"/>
    </row>
    <row r="40" spans="1:14" s="39" customFormat="1" x14ac:dyDescent="0.15">
      <c r="A40" s="49" t="s">
        <v>56</v>
      </c>
      <c r="B40" s="42"/>
      <c r="C40" s="20"/>
      <c r="D40" s="20">
        <f t="shared" ref="D40:M40" si="17">C$24*$F$15</f>
        <v>74.692799999999977</v>
      </c>
      <c r="E40" s="20">
        <f t="shared" si="17"/>
        <v>158.98895999999999</v>
      </c>
      <c r="F40" s="20">
        <f t="shared" si="17"/>
        <v>217.99627199999998</v>
      </c>
      <c r="G40" s="20">
        <f t="shared" si="17"/>
        <v>259.30139039999995</v>
      </c>
      <c r="H40" s="20">
        <f t="shared" si="17"/>
        <v>288.21497327999992</v>
      </c>
      <c r="I40" s="20">
        <f t="shared" si="17"/>
        <v>308.45448129599993</v>
      </c>
      <c r="J40" s="20">
        <f t="shared" si="17"/>
        <v>322.62213690719994</v>
      </c>
      <c r="K40" s="20">
        <f t="shared" si="17"/>
        <v>332.53949583503993</v>
      </c>
      <c r="L40" s="20">
        <f t="shared" si="17"/>
        <v>339.48164708452794</v>
      </c>
      <c r="M40" s="20">
        <f t="shared" si="17"/>
        <v>344.34115295916951</v>
      </c>
      <c r="N40" s="42"/>
    </row>
    <row r="41" spans="1:14" s="39" customFormat="1" x14ac:dyDescent="0.15">
      <c r="A41" s="39" t="s">
        <v>34</v>
      </c>
      <c r="B41" s="43"/>
      <c r="C41" s="44"/>
      <c r="D41" s="44"/>
      <c r="E41" s="44">
        <f t="shared" ref="E41:M41" si="18">C$24*$F$14</f>
        <v>59.62319999999999</v>
      </c>
      <c r="F41" s="44">
        <f t="shared" si="18"/>
        <v>126.91224</v>
      </c>
      <c r="G41" s="44">
        <f t="shared" si="18"/>
        <v>174.014568</v>
      </c>
      <c r="H41" s="44">
        <f t="shared" si="18"/>
        <v>206.98619759999997</v>
      </c>
      <c r="I41" s="44">
        <f t="shared" si="18"/>
        <v>230.06633831999997</v>
      </c>
      <c r="J41" s="44">
        <f t="shared" si="18"/>
        <v>246.22243682399997</v>
      </c>
      <c r="K41" s="44">
        <f t="shared" si="18"/>
        <v>257.53170577679992</v>
      </c>
      <c r="L41" s="44">
        <f t="shared" si="18"/>
        <v>265.44819404376</v>
      </c>
      <c r="M41" s="44">
        <f t="shared" si="18"/>
        <v>270.98973583063196</v>
      </c>
      <c r="N41" s="42"/>
    </row>
    <row r="42" spans="1:14" s="39" customFormat="1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s="39" customFormat="1" x14ac:dyDescent="0.15">
      <c r="A43" s="39" t="s">
        <v>25</v>
      </c>
      <c r="B43" s="20">
        <f>SUM(B44:B45)</f>
        <v>523.99</v>
      </c>
      <c r="C43" s="20">
        <f t="shared" ref="C43:M43" si="19">SUM(C44:C45)</f>
        <v>659.96499999999992</v>
      </c>
      <c r="D43" s="20">
        <f t="shared" si="19"/>
        <v>855.66750000000002</v>
      </c>
      <c r="E43" s="20">
        <f t="shared" si="19"/>
        <v>1026.05225</v>
      </c>
      <c r="F43" s="20">
        <f t="shared" si="19"/>
        <v>1151.8735750000001</v>
      </c>
      <c r="G43" s="20">
        <f t="shared" si="19"/>
        <v>1239.9485024999997</v>
      </c>
      <c r="H43" s="20">
        <f t="shared" si="19"/>
        <v>1301.6009517499997</v>
      </c>
      <c r="I43" s="20">
        <f t="shared" si="19"/>
        <v>1344.7576662249999</v>
      </c>
      <c r="J43" s="20">
        <f t="shared" si="19"/>
        <v>1374.9673663574999</v>
      </c>
      <c r="K43" s="20">
        <f t="shared" si="19"/>
        <v>1396.11415645025</v>
      </c>
      <c r="L43" s="20">
        <f t="shared" si="19"/>
        <v>1410.9169095151747</v>
      </c>
      <c r="M43" s="20">
        <f t="shared" si="19"/>
        <v>1421.2788366606223</v>
      </c>
      <c r="N43" s="20"/>
    </row>
    <row r="44" spans="1:14" s="39" customFormat="1" x14ac:dyDescent="0.15">
      <c r="A44" s="39" t="s">
        <v>39</v>
      </c>
      <c r="B44" s="39">
        <f>B23*(SUM($E$10:$E$15)+($B$4*30*$E$16/9))</f>
        <v>523.99</v>
      </c>
      <c r="C44" s="39">
        <f t="shared" ref="C44:M44" si="20">C23*(SUM($E$10:$E$15)+($B$4*30*$E$16/9))</f>
        <v>523.99</v>
      </c>
      <c r="D44" s="39">
        <f t="shared" si="20"/>
        <v>523.99</v>
      </c>
      <c r="E44" s="39">
        <f t="shared" si="20"/>
        <v>523.99</v>
      </c>
      <c r="F44" s="39">
        <f t="shared" si="20"/>
        <v>523.99</v>
      </c>
      <c r="G44" s="39">
        <f t="shared" si="20"/>
        <v>523.99</v>
      </c>
      <c r="H44" s="39">
        <f t="shared" si="20"/>
        <v>523.99</v>
      </c>
      <c r="I44" s="39">
        <f t="shared" si="20"/>
        <v>523.99</v>
      </c>
      <c r="J44" s="39">
        <f t="shared" si="20"/>
        <v>523.99</v>
      </c>
      <c r="K44" s="39">
        <f t="shared" si="20"/>
        <v>523.99</v>
      </c>
      <c r="L44" s="39">
        <f t="shared" si="20"/>
        <v>523.99</v>
      </c>
      <c r="M44" s="39">
        <f t="shared" si="20"/>
        <v>523.99</v>
      </c>
      <c r="N44" s="20"/>
    </row>
    <row r="45" spans="1:14" s="39" customFormat="1" x14ac:dyDescent="0.15">
      <c r="A45" s="39" t="s">
        <v>37</v>
      </c>
      <c r="B45" s="39">
        <f t="shared" ref="B45:M45" si="21">SUM(B46:B50)</f>
        <v>0</v>
      </c>
      <c r="C45" s="39">
        <f>SUM(C46:C50)</f>
        <v>135.97499999999997</v>
      </c>
      <c r="D45" s="39">
        <f>SUM(D46:D50)</f>
        <v>331.67749999999995</v>
      </c>
      <c r="E45" s="39">
        <f t="shared" si="21"/>
        <v>502.06224999999989</v>
      </c>
      <c r="F45" s="39">
        <f t="shared" si="21"/>
        <v>627.88357499999995</v>
      </c>
      <c r="G45" s="39">
        <f t="shared" si="21"/>
        <v>715.95850249999967</v>
      </c>
      <c r="H45" s="39">
        <f t="shared" si="21"/>
        <v>777.6109517499998</v>
      </c>
      <c r="I45" s="39">
        <f t="shared" si="21"/>
        <v>820.76766622499986</v>
      </c>
      <c r="J45" s="39">
        <f t="shared" si="21"/>
        <v>850.97736635749982</v>
      </c>
      <c r="K45" s="39">
        <f t="shared" si="21"/>
        <v>872.12415645024987</v>
      </c>
      <c r="L45" s="39">
        <f t="shared" si="21"/>
        <v>886.92690951517477</v>
      </c>
      <c r="M45" s="39">
        <f t="shared" si="21"/>
        <v>897.28883666062234</v>
      </c>
      <c r="N45" s="20"/>
    </row>
    <row r="46" spans="1:14" s="39" customFormat="1" x14ac:dyDescent="0.15">
      <c r="A46" s="49" t="s">
        <v>58</v>
      </c>
      <c r="B46" s="40"/>
      <c r="C46" s="41">
        <f>(C$24*($B$4*15*$E$16/9))+(C$24*($B$5*15*$E$16/9))</f>
        <v>135.97499999999997</v>
      </c>
      <c r="D46" s="41">
        <f t="shared" ref="D46:M46" si="22">(((D$24-C$24)*($B$4*15*$E$16/9))+((D$24-C$24)*($B$5*15*$E$16/9)))+(C$24*($B$5*30*$E$16/9))</f>
        <v>244.10749999999996</v>
      </c>
      <c r="E46" s="41">
        <f t="shared" si="22"/>
        <v>300.37524999999994</v>
      </c>
      <c r="F46" s="41">
        <f t="shared" si="22"/>
        <v>339.76267499999994</v>
      </c>
      <c r="G46" s="41">
        <f t="shared" si="22"/>
        <v>367.33387249999987</v>
      </c>
      <c r="H46" s="41">
        <f t="shared" si="22"/>
        <v>386.63371074999992</v>
      </c>
      <c r="I46" s="41">
        <f t="shared" si="22"/>
        <v>400.1435975249999</v>
      </c>
      <c r="J46" s="41">
        <f t="shared" si="22"/>
        <v>409.60051826749992</v>
      </c>
      <c r="K46" s="41">
        <f t="shared" si="22"/>
        <v>416.22036278724994</v>
      </c>
      <c r="L46" s="41">
        <f t="shared" si="22"/>
        <v>420.8542539510749</v>
      </c>
      <c r="M46" s="41">
        <f t="shared" si="22"/>
        <v>424.09797776575232</v>
      </c>
      <c r="N46" s="42"/>
    </row>
    <row r="47" spans="1:14" s="39" customFormat="1" x14ac:dyDescent="0.15">
      <c r="A47" s="39" t="s">
        <v>42</v>
      </c>
      <c r="B47" s="42"/>
      <c r="C47" s="20"/>
      <c r="D47" s="20">
        <f t="shared" ref="D47:M47" si="23">C$24*$E$12</f>
        <v>48.257999999999996</v>
      </c>
      <c r="E47" s="20">
        <f t="shared" si="23"/>
        <v>102.72059999999999</v>
      </c>
      <c r="F47" s="20">
        <f t="shared" si="23"/>
        <v>140.84441999999999</v>
      </c>
      <c r="G47" s="20">
        <f t="shared" si="23"/>
        <v>167.531094</v>
      </c>
      <c r="H47" s="20">
        <f t="shared" si="23"/>
        <v>186.21176579999997</v>
      </c>
      <c r="I47" s="20">
        <f t="shared" si="23"/>
        <v>199.28823605999997</v>
      </c>
      <c r="J47" s="20">
        <f t="shared" si="23"/>
        <v>208.44176524199997</v>
      </c>
      <c r="K47" s="20">
        <f t="shared" si="23"/>
        <v>214.84923566939997</v>
      </c>
      <c r="L47" s="20">
        <f t="shared" si="23"/>
        <v>219.33446496857999</v>
      </c>
      <c r="M47" s="20">
        <f t="shared" si="23"/>
        <v>222.47412547800596</v>
      </c>
      <c r="N47" s="42"/>
    </row>
    <row r="48" spans="1:14" x14ac:dyDescent="0.15">
      <c r="A48" s="48" t="s">
        <v>64</v>
      </c>
      <c r="B48" s="10"/>
      <c r="C48" s="11"/>
      <c r="D48" s="17">
        <f>C$24*$E$13</f>
        <v>20.159999999999997</v>
      </c>
      <c r="E48" s="17">
        <f t="shared" ref="E48:M48" si="24">D$24*$E$13</f>
        <v>42.911999999999999</v>
      </c>
      <c r="F48" s="17">
        <f t="shared" si="24"/>
        <v>58.838399999999993</v>
      </c>
      <c r="G48" s="17">
        <f t="shared" si="24"/>
        <v>69.986879999999985</v>
      </c>
      <c r="H48" s="17">
        <f t="shared" si="24"/>
        <v>77.790815999999992</v>
      </c>
      <c r="I48" s="17">
        <f t="shared" si="24"/>
        <v>83.253571199999982</v>
      </c>
      <c r="J48" s="17">
        <f t="shared" si="24"/>
        <v>87.077499839999987</v>
      </c>
      <c r="K48" s="17">
        <f t="shared" si="24"/>
        <v>89.75424988799999</v>
      </c>
      <c r="L48" s="17">
        <f t="shared" si="24"/>
        <v>91.627974921599986</v>
      </c>
      <c r="M48" s="17">
        <f t="shared" si="24"/>
        <v>92.939582445119981</v>
      </c>
      <c r="N48" s="10"/>
    </row>
    <row r="49" spans="1:15" s="39" customFormat="1" x14ac:dyDescent="0.15">
      <c r="A49" s="49" t="s">
        <v>57</v>
      </c>
      <c r="B49" s="42"/>
      <c r="C49" s="20"/>
      <c r="D49" s="20">
        <f t="shared" ref="D49:M49" si="25">C$24*$E$15</f>
        <v>19.151999999999994</v>
      </c>
      <c r="E49" s="20">
        <f t="shared" si="25"/>
        <v>40.766399999999997</v>
      </c>
      <c r="F49" s="20">
        <f t="shared" si="25"/>
        <v>55.89647999999999</v>
      </c>
      <c r="G49" s="20">
        <f t="shared" si="25"/>
        <v>66.487535999999992</v>
      </c>
      <c r="H49" s="20">
        <f t="shared" si="25"/>
        <v>73.901275199999986</v>
      </c>
      <c r="I49" s="20">
        <f t="shared" si="25"/>
        <v>79.090892639999979</v>
      </c>
      <c r="J49" s="20">
        <f t="shared" si="25"/>
        <v>82.723624847999972</v>
      </c>
      <c r="K49" s="20">
        <f t="shared" si="25"/>
        <v>85.26653739359999</v>
      </c>
      <c r="L49" s="20">
        <f t="shared" si="25"/>
        <v>87.046576175519988</v>
      </c>
      <c r="M49" s="20">
        <f t="shared" si="25"/>
        <v>88.292603322863982</v>
      </c>
      <c r="N49" s="42"/>
    </row>
    <row r="50" spans="1:15" s="39" customFormat="1" x14ac:dyDescent="0.15">
      <c r="A50" s="39" t="s">
        <v>35</v>
      </c>
      <c r="B50" s="43"/>
      <c r="C50" s="44"/>
      <c r="D50" s="44"/>
      <c r="E50" s="44">
        <f t="shared" ref="E50:M50" si="26">C$24*$E$14</f>
        <v>15.287999999999998</v>
      </c>
      <c r="F50" s="44">
        <f t="shared" si="26"/>
        <v>32.541600000000003</v>
      </c>
      <c r="G50" s="44">
        <f t="shared" si="26"/>
        <v>44.619119999999995</v>
      </c>
      <c r="H50" s="44">
        <f t="shared" si="26"/>
        <v>53.073383999999997</v>
      </c>
      <c r="I50" s="44">
        <f t="shared" si="26"/>
        <v>58.991368799999996</v>
      </c>
      <c r="J50" s="44">
        <f t="shared" si="26"/>
        <v>63.133958159999992</v>
      </c>
      <c r="K50" s="44">
        <f t="shared" si="26"/>
        <v>66.033770711999992</v>
      </c>
      <c r="L50" s="44">
        <f t="shared" si="26"/>
        <v>68.063639498399993</v>
      </c>
      <c r="M50" s="44">
        <f t="shared" si="26"/>
        <v>69.484547648879996</v>
      </c>
      <c r="N50" s="42"/>
    </row>
    <row r="51" spans="1:15" s="6" customFormat="1" x14ac:dyDescent="0.1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5" s="18" customFormat="1" x14ac:dyDescent="0.15">
      <c r="A52" s="18" t="s">
        <v>40</v>
      </c>
      <c r="B52" s="19">
        <f>VLOOKUP(B43,Rebate_Table[],2,TRUE)</f>
        <v>0.06</v>
      </c>
      <c r="C52" s="19">
        <f>VLOOKUP(C43,Rebate_Table[],2,TRUE)</f>
        <v>0.06</v>
      </c>
      <c r="D52" s="19">
        <f>VLOOKUP(D43,Rebate_Table[],2,TRUE)</f>
        <v>0.06</v>
      </c>
      <c r="E52" s="19">
        <f>VLOOKUP(E43,Rebate_Table[],2,TRUE)</f>
        <v>0.09</v>
      </c>
      <c r="F52" s="19">
        <f>VLOOKUP(F43,Rebate_Table[],2,TRUE)</f>
        <v>0.09</v>
      </c>
      <c r="G52" s="19">
        <f>VLOOKUP(G43,Rebate_Table[],2,TRUE)</f>
        <v>0.09</v>
      </c>
      <c r="H52" s="19">
        <f>VLOOKUP(H43,Rebate_Table[],2,TRUE)</f>
        <v>0.09</v>
      </c>
      <c r="I52" s="19">
        <f>VLOOKUP(I43,Rebate_Table[],2,TRUE)</f>
        <v>0.09</v>
      </c>
      <c r="J52" s="19">
        <f>VLOOKUP(J43,Rebate_Table[],2,TRUE)</f>
        <v>0.09</v>
      </c>
      <c r="K52" s="19">
        <f>VLOOKUP(K43,Rebate_Table[],2,TRUE)</f>
        <v>0.09</v>
      </c>
      <c r="L52" s="19">
        <f>VLOOKUP(L43,Rebate_Table[],2,TRUE)</f>
        <v>0.09</v>
      </c>
      <c r="M52" s="19">
        <f>VLOOKUP(M43,Rebate_Table[],2,TRUE)</f>
        <v>0.09</v>
      </c>
      <c r="N52" s="19"/>
    </row>
    <row r="53" spans="1:15" s="21" customFormat="1" x14ac:dyDescent="0.15">
      <c r="A53" s="21" t="s">
        <v>18</v>
      </c>
      <c r="B53" s="21">
        <f>B52*(B34)</f>
        <v>122.61365999999998</v>
      </c>
      <c r="C53" s="21">
        <f t="shared" ref="C53:M53" si="27">C52*(C34)</f>
        <v>154.43180999999996</v>
      </c>
      <c r="D53" s="21">
        <f t="shared" si="27"/>
        <v>200.22619499999996</v>
      </c>
      <c r="E53" s="21">
        <f t="shared" si="27"/>
        <v>360.14433974999997</v>
      </c>
      <c r="F53" s="21">
        <f t="shared" si="27"/>
        <v>404.30762482499995</v>
      </c>
      <c r="G53" s="21">
        <f t="shared" si="27"/>
        <v>435.22192437749987</v>
      </c>
      <c r="H53" s="21">
        <f t="shared" si="27"/>
        <v>456.86193406424991</v>
      </c>
      <c r="I53" s="21">
        <f t="shared" si="27"/>
        <v>472.00994084497489</v>
      </c>
      <c r="J53" s="21">
        <f t="shared" si="27"/>
        <v>482.61354559148242</v>
      </c>
      <c r="K53" s="21">
        <f t="shared" si="27"/>
        <v>490.03606891403768</v>
      </c>
      <c r="L53" s="21">
        <f t="shared" si="27"/>
        <v>495.2318352398263</v>
      </c>
      <c r="M53" s="21">
        <f t="shared" si="27"/>
        <v>498.86887166787841</v>
      </c>
      <c r="N53" s="21">
        <f>SUM(B53:M53)</f>
        <v>4572.5677502749486</v>
      </c>
      <c r="O53" s="21">
        <f>M53*12</f>
        <v>5986.4264600145407</v>
      </c>
    </row>
    <row r="55" spans="1:15" s="3" customFormat="1" ht="14" thickBot="1" x14ac:dyDescent="0.2">
      <c r="A55" s="3" t="s">
        <v>49</v>
      </c>
      <c r="B55" s="22">
        <f t="shared" ref="B55:M55" si="28">B26+B27+B53</f>
        <v>817.8736600000002</v>
      </c>
      <c r="C55" s="22">
        <f t="shared" si="28"/>
        <v>995.74681000000021</v>
      </c>
      <c r="D55" s="22">
        <f t="shared" si="28"/>
        <v>1289.1916950000002</v>
      </c>
      <c r="E55" s="22">
        <f t="shared" si="28"/>
        <v>1673.2461897500004</v>
      </c>
      <c r="F55" s="22">
        <f t="shared" si="28"/>
        <v>1880.8569198250002</v>
      </c>
      <c r="G55" s="22">
        <f t="shared" si="28"/>
        <v>2026.1844308775003</v>
      </c>
      <c r="H55" s="22">
        <f t="shared" si="28"/>
        <v>2127.9136886142505</v>
      </c>
      <c r="I55" s="22">
        <f t="shared" si="28"/>
        <v>2199.1241690299753</v>
      </c>
      <c r="J55" s="22">
        <f t="shared" si="28"/>
        <v>2248.9715053209829</v>
      </c>
      <c r="K55" s="22">
        <f t="shared" si="28"/>
        <v>2283.8646407246883</v>
      </c>
      <c r="L55" s="22">
        <f t="shared" si="28"/>
        <v>2308.2898355072821</v>
      </c>
      <c r="M55" s="22">
        <f t="shared" si="28"/>
        <v>2325.3874718550969</v>
      </c>
      <c r="N55" s="22">
        <f>SUM(B55:M55)</f>
        <v>22176.65101650478</v>
      </c>
      <c r="O55" s="22">
        <f>O26+O27+O53</f>
        <v>27904.649662261163</v>
      </c>
    </row>
  </sheetData>
  <sheetProtection password="C889" sheet="1" objects="1" scenarios="1"/>
  <phoneticPr fontId="0" type="noConversion"/>
  <printOptions horizontalCentered="1" verticalCentered="1"/>
  <pageMargins left="0.27559055118110237" right="0.23622047244094491" top="0.39370078740157483" bottom="0.39370078740157483" header="0.51181102362204722" footer="0.51181102362204722"/>
  <pageSetup paperSize="9" scale="8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A9" sqref="A9:XFD16"/>
    </sheetView>
  </sheetViews>
  <sheetFormatPr baseColWidth="10" defaultColWidth="8.83203125" defaultRowHeight="13" x14ac:dyDescent="0.15"/>
  <cols>
    <col min="1" max="1" width="39.5" bestFit="1" customWidth="1"/>
    <col min="2" max="5" width="9.33203125" bestFit="1" customWidth="1"/>
    <col min="6" max="13" width="10.33203125" bestFit="1" customWidth="1"/>
    <col min="14" max="14" width="11.33203125" bestFit="1" customWidth="1"/>
    <col min="15" max="15" width="11.1640625" bestFit="1" customWidth="1"/>
  </cols>
  <sheetData>
    <row r="1" spans="1:14" s="4" customFormat="1" ht="16" x14ac:dyDescent="0.2">
      <c r="A1" s="61" t="s">
        <v>50</v>
      </c>
    </row>
    <row r="3" spans="1:14" s="3" customFormat="1" x14ac:dyDescent="0.15">
      <c r="A3" s="24" t="s">
        <v>12</v>
      </c>
      <c r="B3" s="25"/>
      <c r="C3" s="25"/>
      <c r="D3" s="25"/>
      <c r="E3" s="25"/>
      <c r="F3" s="25"/>
      <c r="G3" s="26"/>
      <c r="H3" s="50"/>
      <c r="I3" s="50"/>
      <c r="J3" s="50"/>
      <c r="K3" s="50"/>
      <c r="L3" s="50"/>
      <c r="M3" s="50"/>
      <c r="N3" s="50"/>
    </row>
    <row r="4" spans="1:14" x14ac:dyDescent="0.15">
      <c r="A4" s="27" t="s">
        <v>15</v>
      </c>
      <c r="B4" s="58">
        <v>2</v>
      </c>
      <c r="C4" s="29" t="s">
        <v>28</v>
      </c>
      <c r="D4" s="29"/>
      <c r="E4" s="29"/>
      <c r="F4" s="29"/>
      <c r="G4" s="30"/>
      <c r="H4" s="29"/>
      <c r="I4" s="29"/>
      <c r="J4" s="29"/>
      <c r="K4" s="29"/>
      <c r="L4" s="29"/>
      <c r="M4" s="29"/>
      <c r="N4" s="29"/>
    </row>
    <row r="5" spans="1:14" x14ac:dyDescent="0.15">
      <c r="A5" s="27" t="s">
        <v>15</v>
      </c>
      <c r="B5" s="58">
        <v>1</v>
      </c>
      <c r="C5" s="29" t="s">
        <v>29</v>
      </c>
      <c r="D5" s="29"/>
      <c r="E5" s="29"/>
      <c r="F5" s="29"/>
      <c r="G5" s="30"/>
      <c r="H5" s="29"/>
      <c r="I5" s="29"/>
      <c r="J5" s="29"/>
      <c r="K5" s="29"/>
      <c r="L5" s="29"/>
      <c r="M5" s="29"/>
      <c r="N5" s="29"/>
    </row>
    <row r="6" spans="1:14" x14ac:dyDescent="0.15">
      <c r="A6" s="27"/>
      <c r="B6" s="29"/>
      <c r="C6" s="29"/>
      <c r="D6" s="29"/>
      <c r="E6" s="29"/>
      <c r="F6" s="29"/>
      <c r="G6" s="30"/>
      <c r="H6" s="29"/>
      <c r="I6" s="29"/>
      <c r="J6" s="29"/>
      <c r="K6" s="29"/>
      <c r="L6" s="29"/>
      <c r="M6" s="29"/>
      <c r="N6" s="29"/>
    </row>
    <row r="7" spans="1:14" x14ac:dyDescent="0.15">
      <c r="A7" s="27" t="s">
        <v>46</v>
      </c>
      <c r="B7" s="59">
        <v>0.7</v>
      </c>
      <c r="C7" s="29"/>
      <c r="D7" s="29"/>
      <c r="E7" s="29"/>
      <c r="F7" s="29"/>
      <c r="G7" s="30"/>
      <c r="H7" s="29"/>
      <c r="I7" s="29"/>
      <c r="J7" s="29"/>
      <c r="K7" s="29"/>
      <c r="L7" s="29"/>
      <c r="M7" s="29"/>
      <c r="N7" s="29"/>
    </row>
    <row r="8" spans="1:14" x14ac:dyDescent="0.15">
      <c r="A8" s="27"/>
      <c r="B8" s="29"/>
      <c r="C8" s="29"/>
      <c r="D8" s="29"/>
      <c r="E8" s="29"/>
      <c r="F8" s="29"/>
      <c r="G8" s="30"/>
      <c r="H8" s="29"/>
      <c r="I8" s="29"/>
      <c r="J8" s="29"/>
      <c r="K8" s="29"/>
      <c r="L8" s="29"/>
      <c r="M8" s="29"/>
      <c r="N8" s="29"/>
    </row>
    <row r="9" spans="1:14" s="35" customFormat="1" ht="12" x14ac:dyDescent="0.15">
      <c r="A9" s="36"/>
      <c r="B9" s="37" t="s">
        <v>19</v>
      </c>
      <c r="C9" s="37" t="s">
        <v>20</v>
      </c>
      <c r="D9" s="37" t="s">
        <v>21</v>
      </c>
      <c r="E9" s="37" t="s">
        <v>22</v>
      </c>
      <c r="F9" s="37" t="s">
        <v>27</v>
      </c>
      <c r="G9" s="38"/>
      <c r="H9" s="37"/>
      <c r="I9" s="37"/>
      <c r="J9" s="37"/>
      <c r="K9" s="37"/>
      <c r="L9" s="37"/>
      <c r="M9" s="37"/>
      <c r="N9" s="37"/>
    </row>
    <row r="10" spans="1:14" x14ac:dyDescent="0.15">
      <c r="A10" s="27" t="s">
        <v>24</v>
      </c>
      <c r="B10" s="11">
        <f>VLOOKUP($A10,Products[],2,0)</f>
        <v>85</v>
      </c>
      <c r="C10" s="11">
        <f>VLOOKUP($A10,Products[],3,0)</f>
        <v>72</v>
      </c>
      <c r="D10" s="11">
        <f>B10-C10</f>
        <v>13</v>
      </c>
      <c r="E10" s="17"/>
      <c r="F10" s="17"/>
      <c r="G10" s="30"/>
      <c r="H10" s="29"/>
      <c r="I10" s="29"/>
      <c r="J10" s="29"/>
      <c r="K10" s="29"/>
      <c r="L10" s="29"/>
      <c r="M10" s="29"/>
      <c r="N10" s="29"/>
    </row>
    <row r="11" spans="1:14" x14ac:dyDescent="0.15">
      <c r="A11" s="45" t="s">
        <v>53</v>
      </c>
      <c r="B11" s="11">
        <f>VLOOKUP($A11,Products[],2,0)</f>
        <v>224.95</v>
      </c>
      <c r="C11" s="11">
        <f>VLOOKUP($A11,Products[],3,0)</f>
        <v>168.83</v>
      </c>
      <c r="D11" s="46">
        <f>B11-C11</f>
        <v>56.119999999999976</v>
      </c>
      <c r="E11" s="47">
        <f>VLOOKUP($A11,Products[],5,0)</f>
        <v>39.35</v>
      </c>
      <c r="F11" s="11">
        <f>VLOOKUP($A11,Products[],6,0)</f>
        <v>153.465</v>
      </c>
      <c r="G11" s="30"/>
      <c r="H11" s="29"/>
      <c r="I11" s="29"/>
      <c r="J11" s="29"/>
      <c r="K11" s="29"/>
      <c r="L11" s="29"/>
      <c r="M11" s="29"/>
      <c r="N11" s="29"/>
    </row>
    <row r="12" spans="1:14" x14ac:dyDescent="0.15">
      <c r="A12" s="45" t="s">
        <v>59</v>
      </c>
      <c r="B12" s="11">
        <f>VLOOKUP($A12,Products[],2,0)</f>
        <v>133.05000000000001</v>
      </c>
      <c r="C12" s="11">
        <f>VLOOKUP($A12,Products[],3,0)</f>
        <v>98.57</v>
      </c>
      <c r="D12" s="11">
        <f t="shared" ref="D12:D14" si="0">B12-C12</f>
        <v>34.480000000000018</v>
      </c>
      <c r="E12" s="47">
        <f>VLOOKUP($A12,Products[],5,0)</f>
        <v>22.98</v>
      </c>
      <c r="F12" s="11">
        <f>VLOOKUP($A12,Products[],6,0)</f>
        <v>89.622</v>
      </c>
      <c r="G12" s="30"/>
      <c r="H12" s="29"/>
      <c r="I12" s="29"/>
      <c r="J12" s="29"/>
      <c r="K12" s="29"/>
      <c r="L12" s="29"/>
      <c r="M12" s="29"/>
      <c r="N12" s="29"/>
    </row>
    <row r="13" spans="1:14" x14ac:dyDescent="0.15">
      <c r="A13" s="45" t="s">
        <v>61</v>
      </c>
      <c r="B13" s="11">
        <f>VLOOKUP($A13,Products[],2,0)</f>
        <v>55.61</v>
      </c>
      <c r="C13" s="11">
        <f>VLOOKUP($A13,Products[],3,0)</f>
        <v>41.18</v>
      </c>
      <c r="D13" s="46">
        <f>B13-C13</f>
        <v>14.43</v>
      </c>
      <c r="E13" s="47">
        <f>VLOOKUP($A13,Products[],5,0)</f>
        <v>9.6</v>
      </c>
      <c r="F13" s="11">
        <f>VLOOKUP($A13,Products[],6,0)</f>
        <v>37.44</v>
      </c>
      <c r="G13" s="51"/>
      <c r="H13" s="29"/>
      <c r="I13" s="28"/>
      <c r="J13" s="31"/>
      <c r="K13" s="29"/>
      <c r="L13" s="29"/>
      <c r="M13" s="29"/>
      <c r="N13" s="29"/>
    </row>
    <row r="14" spans="1:14" x14ac:dyDescent="0.15">
      <c r="A14" s="45" t="s">
        <v>60</v>
      </c>
      <c r="B14" s="11">
        <f>VLOOKUP($A14,Products[],2,0)</f>
        <v>36.36</v>
      </c>
      <c r="C14" s="11">
        <f>VLOOKUP($A14,Products[],3,0)</f>
        <v>29.08</v>
      </c>
      <c r="D14" s="11">
        <f t="shared" si="0"/>
        <v>7.2800000000000011</v>
      </c>
      <c r="E14" s="47">
        <f>VLOOKUP($A14,Products[],5,0)</f>
        <v>7.28</v>
      </c>
      <c r="F14" s="11">
        <f>VLOOKUP($A14,Products[],6,0)</f>
        <v>28.391999999999999</v>
      </c>
      <c r="G14" s="30"/>
      <c r="H14" s="29"/>
      <c r="I14" s="29"/>
      <c r="J14" s="29"/>
      <c r="K14" s="29"/>
      <c r="L14" s="29"/>
      <c r="M14" s="29"/>
      <c r="N14" s="29"/>
    </row>
    <row r="15" spans="1:14" x14ac:dyDescent="0.15">
      <c r="A15" s="45" t="s">
        <v>51</v>
      </c>
      <c r="B15" s="11">
        <f>VLOOKUP($A15,Products[],2,0)</f>
        <v>52.86</v>
      </c>
      <c r="C15" s="11">
        <f>VLOOKUP($A15,Products[],3,0)</f>
        <v>39.15</v>
      </c>
      <c r="D15" s="11">
        <f>B15-C15</f>
        <v>13.71</v>
      </c>
      <c r="E15" s="47">
        <f>VLOOKUP($A15,Products[],5,0)</f>
        <v>9.1199999999999992</v>
      </c>
      <c r="F15" s="11">
        <f>VLOOKUP($A15,Products[],6,0)</f>
        <v>35.567999999999998</v>
      </c>
      <c r="G15" s="30"/>
      <c r="H15" s="29"/>
      <c r="I15" s="29"/>
      <c r="J15" s="29"/>
      <c r="K15" s="29"/>
      <c r="L15" s="29"/>
      <c r="M15" s="29"/>
      <c r="N15" s="29"/>
    </row>
    <row r="16" spans="1:14" x14ac:dyDescent="0.15">
      <c r="A16" s="27" t="s">
        <v>23</v>
      </c>
      <c r="B16" s="11">
        <f>VLOOKUP($A16,Products[],2,0)</f>
        <v>69.45</v>
      </c>
      <c r="C16" s="11">
        <f>VLOOKUP($A16,Products[],3,0)</f>
        <v>55.54</v>
      </c>
      <c r="D16" s="11">
        <f>B16-C16</f>
        <v>13.910000000000004</v>
      </c>
      <c r="E16" s="47">
        <f>VLOOKUP($A16,Products[],5,0)</f>
        <v>12.95</v>
      </c>
      <c r="F16" s="11">
        <f>VLOOKUP($A16,Products[],6,0)</f>
        <v>50.504999999999995</v>
      </c>
      <c r="G16" s="30"/>
      <c r="H16" s="29"/>
      <c r="I16" s="29"/>
      <c r="J16" s="29"/>
      <c r="K16" s="29"/>
      <c r="L16" s="29"/>
      <c r="M16" s="29"/>
      <c r="N16" s="29"/>
    </row>
    <row r="17" spans="1:15" x14ac:dyDescent="0.15">
      <c r="A17" s="32"/>
      <c r="B17" s="33"/>
      <c r="C17" s="13"/>
      <c r="D17" s="33"/>
      <c r="E17" s="33"/>
      <c r="F17" s="33"/>
      <c r="G17" s="34"/>
      <c r="H17" s="29"/>
      <c r="I17" s="28"/>
      <c r="J17" s="31"/>
      <c r="K17" s="29"/>
      <c r="L17" s="29"/>
      <c r="M17" s="29"/>
      <c r="N17" s="29"/>
    </row>
    <row r="18" spans="1:15" x14ac:dyDescent="0.15">
      <c r="C18" s="5"/>
      <c r="D18" s="5"/>
      <c r="I18" s="1"/>
      <c r="J18" s="23"/>
    </row>
    <row r="19" spans="1:15" x14ac:dyDescent="0.15">
      <c r="I19" s="1"/>
      <c r="J19" s="23"/>
    </row>
    <row r="20" spans="1:15" s="3" customFormat="1" x14ac:dyDescent="0.15">
      <c r="A20" s="3" t="s">
        <v>31</v>
      </c>
      <c r="B20" s="60">
        <v>5</v>
      </c>
      <c r="C20" s="3" t="s">
        <v>32</v>
      </c>
    </row>
    <row r="22" spans="1:15" s="2" customFormat="1" x14ac:dyDescent="0.15"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  <c r="H22" s="2" t="s">
        <v>6</v>
      </c>
      <c r="I22" s="2" t="s">
        <v>7</v>
      </c>
      <c r="J22" s="2" t="s">
        <v>8</v>
      </c>
      <c r="K22" s="2" t="s">
        <v>9</v>
      </c>
      <c r="L22" s="2" t="s">
        <v>10</v>
      </c>
      <c r="M22" s="2" t="s">
        <v>11</v>
      </c>
      <c r="N22" s="2" t="s">
        <v>33</v>
      </c>
      <c r="O22" s="2" t="s">
        <v>44</v>
      </c>
    </row>
    <row r="23" spans="1:15" x14ac:dyDescent="0.15">
      <c r="A23" t="s">
        <v>14</v>
      </c>
      <c r="B23" s="7">
        <f>$B$20</f>
        <v>5</v>
      </c>
      <c r="C23" s="7">
        <f t="shared" ref="C23:M23" si="1">$B$20</f>
        <v>5</v>
      </c>
      <c r="D23" s="7">
        <f t="shared" si="1"/>
        <v>5</v>
      </c>
      <c r="E23" s="7">
        <f t="shared" si="1"/>
        <v>5</v>
      </c>
      <c r="F23" s="7">
        <f t="shared" si="1"/>
        <v>5</v>
      </c>
      <c r="G23" s="7">
        <f t="shared" si="1"/>
        <v>5</v>
      </c>
      <c r="H23" s="7">
        <f t="shared" si="1"/>
        <v>5</v>
      </c>
      <c r="I23" s="7">
        <f t="shared" si="1"/>
        <v>5</v>
      </c>
      <c r="J23" s="7">
        <f t="shared" si="1"/>
        <v>5</v>
      </c>
      <c r="K23" s="7">
        <f t="shared" si="1"/>
        <v>5</v>
      </c>
      <c r="L23" s="7">
        <f t="shared" si="1"/>
        <v>5</v>
      </c>
      <c r="M23" s="7">
        <f t="shared" si="1"/>
        <v>5</v>
      </c>
    </row>
    <row r="24" spans="1:15" x14ac:dyDescent="0.15">
      <c r="A24" t="s">
        <v>13</v>
      </c>
      <c r="B24" s="1"/>
      <c r="C24" s="1">
        <f>B23*$B$7</f>
        <v>3.5</v>
      </c>
      <c r="D24" s="7">
        <f>C23+(C24*$B$7)</f>
        <v>7.4499999999999993</v>
      </c>
      <c r="E24" s="7">
        <f t="shared" ref="E24:L24" si="2">D23+(D24*$B$7)</f>
        <v>10.215</v>
      </c>
      <c r="F24" s="7">
        <f t="shared" si="2"/>
        <v>12.150499999999999</v>
      </c>
      <c r="G24" s="7">
        <f t="shared" si="2"/>
        <v>13.505349999999998</v>
      </c>
      <c r="H24" s="7">
        <f t="shared" si="2"/>
        <v>14.453744999999998</v>
      </c>
      <c r="I24" s="7">
        <f t="shared" si="2"/>
        <v>15.117621499999998</v>
      </c>
      <c r="J24" s="7">
        <f t="shared" si="2"/>
        <v>15.582335049999998</v>
      </c>
      <c r="K24" s="7">
        <f t="shared" si="2"/>
        <v>15.907634534999998</v>
      </c>
      <c r="L24" s="7">
        <f t="shared" si="2"/>
        <v>16.135344174499998</v>
      </c>
      <c r="M24" s="7">
        <f>L23+(L24*$B$7)</f>
        <v>16.294740922149998</v>
      </c>
    </row>
    <row r="25" spans="1:15" x14ac:dyDescent="0.15">
      <c r="F25" t="s">
        <v>45</v>
      </c>
    </row>
    <row r="26" spans="1:15" s="3" customFormat="1" x14ac:dyDescent="0.15">
      <c r="A26" s="3" t="s">
        <v>16</v>
      </c>
      <c r="B26" s="21">
        <f>B23*(SUM($D$10:$D$15)+($B$4*30*$D$16/9))</f>
        <v>1158.7666666666669</v>
      </c>
      <c r="C26" s="21">
        <f t="shared" ref="C26:M26" si="3">C23*(SUM($D$10:$D$15)+($B$4*30*$D$16/9))</f>
        <v>1158.7666666666669</v>
      </c>
      <c r="D26" s="21">
        <f t="shared" si="3"/>
        <v>1158.7666666666669</v>
      </c>
      <c r="E26" s="21">
        <f t="shared" si="3"/>
        <v>1158.7666666666669</v>
      </c>
      <c r="F26" s="21">
        <f t="shared" si="3"/>
        <v>1158.7666666666669</v>
      </c>
      <c r="G26" s="21">
        <f t="shared" si="3"/>
        <v>1158.7666666666669</v>
      </c>
      <c r="H26" s="21">
        <f t="shared" si="3"/>
        <v>1158.7666666666669</v>
      </c>
      <c r="I26" s="21">
        <f t="shared" si="3"/>
        <v>1158.7666666666669</v>
      </c>
      <c r="J26" s="21">
        <f t="shared" si="3"/>
        <v>1158.7666666666669</v>
      </c>
      <c r="K26" s="21">
        <f t="shared" si="3"/>
        <v>1158.7666666666669</v>
      </c>
      <c r="L26" s="21">
        <f t="shared" si="3"/>
        <v>1158.7666666666669</v>
      </c>
      <c r="M26" s="21">
        <f t="shared" si="3"/>
        <v>1158.7666666666669</v>
      </c>
      <c r="N26" s="21">
        <f>SUM(B26:M26)</f>
        <v>13905.199999999999</v>
      </c>
      <c r="O26" s="21">
        <f>M26*12</f>
        <v>13905.200000000003</v>
      </c>
    </row>
    <row r="27" spans="1:15" s="3" customFormat="1" x14ac:dyDescent="0.15">
      <c r="A27" s="3" t="s">
        <v>17</v>
      </c>
      <c r="B27" s="21">
        <f t="shared" ref="B27:M27" si="4">SUM(B28:B32)</f>
        <v>0</v>
      </c>
      <c r="C27" s="21">
        <f t="shared" si="4"/>
        <v>243.42500000000007</v>
      </c>
      <c r="D27" s="21">
        <f t="shared" si="4"/>
        <v>656.17583333333357</v>
      </c>
      <c r="E27" s="21">
        <f t="shared" si="4"/>
        <v>1029.7364166666669</v>
      </c>
      <c r="F27" s="21">
        <f t="shared" si="4"/>
        <v>1302.1488250000004</v>
      </c>
      <c r="G27" s="21">
        <f t="shared" si="4"/>
        <v>1492.8375108333337</v>
      </c>
      <c r="H27" s="21">
        <f t="shared" si="4"/>
        <v>1626.3195909166668</v>
      </c>
      <c r="I27" s="21">
        <f t="shared" si="4"/>
        <v>1719.7570469750003</v>
      </c>
      <c r="J27" s="21">
        <f t="shared" si="4"/>
        <v>1785.1632662158336</v>
      </c>
      <c r="K27" s="21">
        <f t="shared" si="4"/>
        <v>1830.9476196844168</v>
      </c>
      <c r="L27" s="21">
        <f>SUM(L28:L32)</f>
        <v>1862.9966671124253</v>
      </c>
      <c r="M27" s="21">
        <f t="shared" si="4"/>
        <v>1885.4310003120313</v>
      </c>
      <c r="N27" s="21">
        <f>SUM(B27:M27)</f>
        <v>15434.938777049711</v>
      </c>
      <c r="O27" s="21">
        <f>M27*12</f>
        <v>22625.172003744374</v>
      </c>
    </row>
    <row r="28" spans="1:15" x14ac:dyDescent="0.15">
      <c r="A28" s="48" t="s">
        <v>54</v>
      </c>
      <c r="B28" s="8"/>
      <c r="C28" s="9">
        <f>(C$24*($B$4*15*$D$16/9))+(C$24*($B$5*15*$D$16/9))</f>
        <v>243.42500000000007</v>
      </c>
      <c r="D28" s="9">
        <f t="shared" ref="D28:M28" si="5">(((D$24-C$24)*($B$4*15*$D$16/9))+((D$24-C$24)*($B$5*15*$D$16/9)))+(C$24*($B$5*30*$D$16/9))</f>
        <v>437.0058333333335</v>
      </c>
      <c r="E28" s="9">
        <f t="shared" si="5"/>
        <v>537.73741666666683</v>
      </c>
      <c r="F28" s="9">
        <f t="shared" si="5"/>
        <v>608.24952500000018</v>
      </c>
      <c r="G28" s="9">
        <f t="shared" si="5"/>
        <v>657.60800083333345</v>
      </c>
      <c r="H28" s="9">
        <f t="shared" si="5"/>
        <v>692.1589339166668</v>
      </c>
      <c r="I28" s="9">
        <f t="shared" si="5"/>
        <v>716.34458707500016</v>
      </c>
      <c r="J28" s="9">
        <f t="shared" si="5"/>
        <v>733.27454428583349</v>
      </c>
      <c r="K28" s="9">
        <f t="shared" si="5"/>
        <v>745.12551433341685</v>
      </c>
      <c r="L28" s="9">
        <f t="shared" si="5"/>
        <v>753.42119336672522</v>
      </c>
      <c r="M28" s="9">
        <f t="shared" si="5"/>
        <v>759.228168690041</v>
      </c>
      <c r="N28" s="14">
        <f t="shared" ref="N28:N32" si="6">SUM(B28:M28)</f>
        <v>6883.5787175010173</v>
      </c>
    </row>
    <row r="29" spans="1:15" x14ac:dyDescent="0.15">
      <c r="A29" t="s">
        <v>43</v>
      </c>
      <c r="B29" s="10"/>
      <c r="C29" s="11"/>
      <c r="D29" s="11">
        <f t="shared" ref="D29:M29" si="7">C$24*$D$12</f>
        <v>120.68000000000006</v>
      </c>
      <c r="E29" s="11">
        <f t="shared" si="7"/>
        <v>256.87600000000009</v>
      </c>
      <c r="F29" s="11">
        <f t="shared" si="7"/>
        <v>352.2132000000002</v>
      </c>
      <c r="G29" s="11">
        <f t="shared" si="7"/>
        <v>418.9492400000002</v>
      </c>
      <c r="H29" s="11">
        <f t="shared" si="7"/>
        <v>465.66446800000017</v>
      </c>
      <c r="I29" s="11">
        <f t="shared" si="7"/>
        <v>498.36512760000016</v>
      </c>
      <c r="J29" s="11">
        <f t="shared" si="7"/>
        <v>521.25558932000024</v>
      </c>
      <c r="K29" s="11">
        <f t="shared" si="7"/>
        <v>537.27891252400025</v>
      </c>
      <c r="L29" s="11">
        <f t="shared" si="7"/>
        <v>548.49523876680018</v>
      </c>
      <c r="M29" s="11">
        <f t="shared" si="7"/>
        <v>556.34666713676029</v>
      </c>
      <c r="N29" s="15">
        <f t="shared" si="6"/>
        <v>4276.1244433475622</v>
      </c>
    </row>
    <row r="30" spans="1:15" x14ac:dyDescent="0.15">
      <c r="A30" s="48" t="s">
        <v>62</v>
      </c>
      <c r="B30" s="10"/>
      <c r="C30" s="11"/>
      <c r="D30" s="11">
        <f>C$24*$D$13</f>
        <v>50.504999999999995</v>
      </c>
      <c r="E30" s="11">
        <f t="shared" ref="E30:M30" si="8">D$24*$D$13</f>
        <v>107.50349999999999</v>
      </c>
      <c r="F30" s="11">
        <f t="shared" si="8"/>
        <v>147.40244999999999</v>
      </c>
      <c r="G30" s="11">
        <f t="shared" si="8"/>
        <v>175.33171499999997</v>
      </c>
      <c r="H30" s="11">
        <f t="shared" si="8"/>
        <v>194.88220049999998</v>
      </c>
      <c r="I30" s="11">
        <f t="shared" si="8"/>
        <v>208.56754034999997</v>
      </c>
      <c r="J30" s="11">
        <f t="shared" si="8"/>
        <v>218.14727824499997</v>
      </c>
      <c r="K30" s="11">
        <f t="shared" si="8"/>
        <v>224.85309477149997</v>
      </c>
      <c r="L30" s="11">
        <f t="shared" si="8"/>
        <v>229.54716634004996</v>
      </c>
      <c r="M30" s="11">
        <f t="shared" si="8"/>
        <v>232.83301643803497</v>
      </c>
      <c r="N30" s="15">
        <f>SUM(B30:M30)</f>
        <v>1789.5729616445847</v>
      </c>
    </row>
    <row r="31" spans="1:15" x14ac:dyDescent="0.15">
      <c r="A31" s="48" t="s">
        <v>52</v>
      </c>
      <c r="B31" s="10"/>
      <c r="C31" s="11"/>
      <c r="D31" s="11">
        <f t="shared" ref="D31:M31" si="9">C$24*$D$15</f>
        <v>47.984999999999999</v>
      </c>
      <c r="E31" s="11">
        <f t="shared" si="9"/>
        <v>102.1395</v>
      </c>
      <c r="F31" s="11">
        <f t="shared" si="9"/>
        <v>140.04765</v>
      </c>
      <c r="G31" s="11">
        <f t="shared" si="9"/>
        <v>166.58335500000001</v>
      </c>
      <c r="H31" s="11">
        <f t="shared" si="9"/>
        <v>185.15834849999999</v>
      </c>
      <c r="I31" s="11">
        <f t="shared" si="9"/>
        <v>198.16084394999999</v>
      </c>
      <c r="J31" s="11">
        <f t="shared" si="9"/>
        <v>207.262590765</v>
      </c>
      <c r="K31" s="11">
        <f t="shared" si="9"/>
        <v>213.63381353549997</v>
      </c>
      <c r="L31" s="11">
        <f t="shared" si="9"/>
        <v>218.09366947484997</v>
      </c>
      <c r="M31" s="11">
        <f t="shared" si="9"/>
        <v>221.21556863239499</v>
      </c>
      <c r="N31" s="15">
        <f t="shared" si="6"/>
        <v>1700.2803398577448</v>
      </c>
    </row>
    <row r="32" spans="1:15" x14ac:dyDescent="0.15">
      <c r="A32" t="s">
        <v>30</v>
      </c>
      <c r="B32" s="12"/>
      <c r="C32" s="13"/>
      <c r="D32" s="13"/>
      <c r="E32" s="13">
        <f t="shared" ref="E32:M32" si="10">C$24*$D$14</f>
        <v>25.480000000000004</v>
      </c>
      <c r="F32" s="13">
        <f t="shared" si="10"/>
        <v>54.236000000000004</v>
      </c>
      <c r="G32" s="13">
        <f t="shared" si="10"/>
        <v>74.365200000000016</v>
      </c>
      <c r="H32" s="13">
        <f t="shared" si="10"/>
        <v>88.455640000000002</v>
      </c>
      <c r="I32" s="13">
        <f t="shared" si="10"/>
        <v>98.318948000000006</v>
      </c>
      <c r="J32" s="13">
        <f t="shared" si="10"/>
        <v>105.2232636</v>
      </c>
      <c r="K32" s="13">
        <f t="shared" si="10"/>
        <v>110.05628452000001</v>
      </c>
      <c r="L32" s="13">
        <f t="shared" si="10"/>
        <v>113.43939916399999</v>
      </c>
      <c r="M32" s="13">
        <f t="shared" si="10"/>
        <v>115.8075794148</v>
      </c>
      <c r="N32" s="16">
        <f t="shared" si="6"/>
        <v>785.38231469879997</v>
      </c>
    </row>
    <row r="33" spans="1:14" x14ac:dyDescent="0.1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15">
      <c r="A34" t="s">
        <v>26</v>
      </c>
      <c r="B34" s="20">
        <f>SUM(B35:B36)</f>
        <v>3405.9349999999995</v>
      </c>
      <c r="C34" s="20">
        <f t="shared" ref="C34:M34" si="11">SUM(C35:C36)</f>
        <v>4289.7724999999991</v>
      </c>
      <c r="D34" s="20">
        <f t="shared" si="11"/>
        <v>5561.838749999999</v>
      </c>
      <c r="E34" s="20">
        <f t="shared" si="11"/>
        <v>6669.3396249999987</v>
      </c>
      <c r="F34" s="20">
        <f t="shared" si="11"/>
        <v>7487.1782374999984</v>
      </c>
      <c r="G34" s="20">
        <f t="shared" si="11"/>
        <v>8059.6652662499982</v>
      </c>
      <c r="H34" s="20">
        <f t="shared" si="11"/>
        <v>8460.4061863749994</v>
      </c>
      <c r="I34" s="20">
        <f t="shared" si="11"/>
        <v>8740.9248304624998</v>
      </c>
      <c r="J34" s="20">
        <f t="shared" si="11"/>
        <v>8937.2878813237494</v>
      </c>
      <c r="K34" s="20">
        <f t="shared" si="11"/>
        <v>9074.7420169266243</v>
      </c>
      <c r="L34" s="20">
        <f t="shared" si="11"/>
        <v>9170.9599118486367</v>
      </c>
      <c r="M34" s="20">
        <f t="shared" si="11"/>
        <v>9238.3124382940459</v>
      </c>
      <c r="N34" s="11"/>
    </row>
    <row r="35" spans="1:14" s="39" customFormat="1" x14ac:dyDescent="0.15">
      <c r="A35" s="39" t="s">
        <v>38</v>
      </c>
      <c r="B35" s="39">
        <f>B23*(SUM($F$10:$F$15)+($B$4*30*$F$16/9))</f>
        <v>3405.9349999999995</v>
      </c>
      <c r="C35" s="39">
        <f t="shared" ref="C35:M35" si="12">C23*(SUM($F$10:$F$15)+($B$4*30*$F$16/9))</f>
        <v>3405.9349999999995</v>
      </c>
      <c r="D35" s="39">
        <f t="shared" si="12"/>
        <v>3405.9349999999995</v>
      </c>
      <c r="E35" s="39">
        <f t="shared" si="12"/>
        <v>3405.9349999999995</v>
      </c>
      <c r="F35" s="39">
        <f t="shared" si="12"/>
        <v>3405.9349999999995</v>
      </c>
      <c r="G35" s="39">
        <f t="shared" si="12"/>
        <v>3405.9349999999995</v>
      </c>
      <c r="H35" s="39">
        <f t="shared" si="12"/>
        <v>3405.9349999999995</v>
      </c>
      <c r="I35" s="39">
        <f t="shared" si="12"/>
        <v>3405.9349999999995</v>
      </c>
      <c r="J35" s="39">
        <f t="shared" si="12"/>
        <v>3405.9349999999995</v>
      </c>
      <c r="K35" s="39">
        <f t="shared" si="12"/>
        <v>3405.9349999999995</v>
      </c>
      <c r="L35" s="39">
        <f t="shared" si="12"/>
        <v>3405.9349999999995</v>
      </c>
      <c r="M35" s="39">
        <f t="shared" si="12"/>
        <v>3405.9349999999995</v>
      </c>
      <c r="N35" s="20"/>
    </row>
    <row r="36" spans="1:14" s="39" customFormat="1" x14ac:dyDescent="0.15">
      <c r="A36" s="39" t="s">
        <v>36</v>
      </c>
      <c r="B36" s="39">
        <f>SUM(B37:B41)</f>
        <v>0</v>
      </c>
      <c r="C36" s="39">
        <f t="shared" ref="C36:M36" si="13">SUM(C37:C41)</f>
        <v>883.83750000000009</v>
      </c>
      <c r="D36" s="39">
        <f t="shared" si="13"/>
        <v>2155.9037499999995</v>
      </c>
      <c r="E36" s="39">
        <f t="shared" si="13"/>
        <v>3263.4046249999997</v>
      </c>
      <c r="F36" s="39">
        <f t="shared" si="13"/>
        <v>4081.2432374999994</v>
      </c>
      <c r="G36" s="39">
        <f t="shared" si="13"/>
        <v>4653.7302662499987</v>
      </c>
      <c r="H36" s="39">
        <f t="shared" si="13"/>
        <v>5054.4711863749999</v>
      </c>
      <c r="I36" s="39">
        <f t="shared" si="13"/>
        <v>5334.9898304624994</v>
      </c>
      <c r="J36" s="39">
        <f t="shared" si="13"/>
        <v>5531.3528813237499</v>
      </c>
      <c r="K36" s="39">
        <f t="shared" si="13"/>
        <v>5668.8070169266248</v>
      </c>
      <c r="L36" s="39">
        <f t="shared" si="13"/>
        <v>5765.0249118486372</v>
      </c>
      <c r="M36" s="39">
        <f t="shared" si="13"/>
        <v>5832.3774382940464</v>
      </c>
      <c r="N36" s="20"/>
    </row>
    <row r="37" spans="1:14" s="39" customFormat="1" x14ac:dyDescent="0.15">
      <c r="A37" s="49" t="s">
        <v>55</v>
      </c>
      <c r="B37" s="40"/>
      <c r="C37" s="41">
        <f>(C$24*($B$4*15*$F$16/9))+(C$24*($B$5*15*$F$16/9))</f>
        <v>883.83750000000009</v>
      </c>
      <c r="D37" s="41">
        <f t="shared" ref="D37:M37" si="14">(((D$24-C$24)*($B$4*15*$F$16/9))+((D$24-C$24)*($B$5*15*$F$16/9)))+(C$24*($B$5*30*$F$16/9))</f>
        <v>1586.6987499999998</v>
      </c>
      <c r="E37" s="41">
        <f t="shared" si="14"/>
        <v>1952.4391249999999</v>
      </c>
      <c r="F37" s="41">
        <f t="shared" si="14"/>
        <v>2208.4573874999996</v>
      </c>
      <c r="G37" s="41">
        <f t="shared" si="14"/>
        <v>2387.6701712499998</v>
      </c>
      <c r="H37" s="41">
        <f t="shared" si="14"/>
        <v>2513.1191198749998</v>
      </c>
      <c r="I37" s="41">
        <f t="shared" si="14"/>
        <v>2600.9333839124997</v>
      </c>
      <c r="J37" s="41">
        <f t="shared" si="14"/>
        <v>2662.4033687387496</v>
      </c>
      <c r="K37" s="41">
        <f t="shared" si="14"/>
        <v>2705.4323581171247</v>
      </c>
      <c r="L37" s="41">
        <f t="shared" si="14"/>
        <v>2735.5526506819874</v>
      </c>
      <c r="M37" s="41">
        <f t="shared" si="14"/>
        <v>2756.6368554773912</v>
      </c>
      <c r="N37" s="42"/>
    </row>
    <row r="38" spans="1:14" s="39" customFormat="1" x14ac:dyDescent="0.15">
      <c r="A38" s="39" t="s">
        <v>41</v>
      </c>
      <c r="B38" s="42"/>
      <c r="C38" s="20"/>
      <c r="D38" s="20">
        <f t="shared" ref="D38:M38" si="15">C$24*$F$12</f>
        <v>313.67700000000002</v>
      </c>
      <c r="E38" s="20">
        <f t="shared" si="15"/>
        <v>667.68389999999988</v>
      </c>
      <c r="F38" s="20">
        <f t="shared" si="15"/>
        <v>915.48873000000003</v>
      </c>
      <c r="G38" s="20">
        <f t="shared" si="15"/>
        <v>1088.9521109999998</v>
      </c>
      <c r="H38" s="20">
        <f t="shared" si="15"/>
        <v>1210.3764776999999</v>
      </c>
      <c r="I38" s="20">
        <f t="shared" si="15"/>
        <v>1295.3735343899998</v>
      </c>
      <c r="J38" s="20">
        <f t="shared" si="15"/>
        <v>1354.8714740729999</v>
      </c>
      <c r="K38" s="20">
        <f t="shared" si="15"/>
        <v>1396.5200318510997</v>
      </c>
      <c r="L38" s="20">
        <f t="shared" si="15"/>
        <v>1425.6740222957699</v>
      </c>
      <c r="M38" s="20">
        <f t="shared" si="15"/>
        <v>1446.0818156070388</v>
      </c>
      <c r="N38" s="42"/>
    </row>
    <row r="39" spans="1:14" x14ac:dyDescent="0.15">
      <c r="A39" s="48" t="s">
        <v>63</v>
      </c>
      <c r="B39" s="10"/>
      <c r="C39" s="11"/>
      <c r="D39" s="17">
        <f>C$24*$F$13</f>
        <v>131.04</v>
      </c>
      <c r="E39" s="17">
        <f t="shared" ref="E39:M39" si="16">D$24*$F$13</f>
        <v>278.92799999999994</v>
      </c>
      <c r="F39" s="17">
        <f t="shared" si="16"/>
        <v>382.44959999999998</v>
      </c>
      <c r="G39" s="17">
        <f t="shared" si="16"/>
        <v>454.91471999999993</v>
      </c>
      <c r="H39" s="17">
        <f t="shared" si="16"/>
        <v>505.6403039999999</v>
      </c>
      <c r="I39" s="17">
        <f t="shared" si="16"/>
        <v>541.1482127999999</v>
      </c>
      <c r="J39" s="17">
        <f t="shared" si="16"/>
        <v>566.00374895999994</v>
      </c>
      <c r="K39" s="17">
        <f t="shared" si="16"/>
        <v>583.40262427199991</v>
      </c>
      <c r="L39" s="17">
        <f t="shared" si="16"/>
        <v>595.58183699039989</v>
      </c>
      <c r="M39" s="17">
        <f t="shared" si="16"/>
        <v>604.10728589327994</v>
      </c>
      <c r="N39" s="10"/>
    </row>
    <row r="40" spans="1:14" s="39" customFormat="1" x14ac:dyDescent="0.15">
      <c r="A40" s="49" t="s">
        <v>56</v>
      </c>
      <c r="B40" s="42"/>
      <c r="C40" s="20"/>
      <c r="D40" s="20">
        <f t="shared" ref="D40:M40" si="17">C$24*$F$15</f>
        <v>124.488</v>
      </c>
      <c r="E40" s="20">
        <f t="shared" si="17"/>
        <v>264.98159999999996</v>
      </c>
      <c r="F40" s="20">
        <f t="shared" si="17"/>
        <v>363.32711999999998</v>
      </c>
      <c r="G40" s="20">
        <f t="shared" si="17"/>
        <v>432.16898399999997</v>
      </c>
      <c r="H40" s="20">
        <f t="shared" si="17"/>
        <v>480.35828879999991</v>
      </c>
      <c r="I40" s="20">
        <f t="shared" si="17"/>
        <v>514.09080215999984</v>
      </c>
      <c r="J40" s="20">
        <f t="shared" si="17"/>
        <v>537.70356151199996</v>
      </c>
      <c r="K40" s="20">
        <f t="shared" si="17"/>
        <v>554.23249305839988</v>
      </c>
      <c r="L40" s="20">
        <f t="shared" si="17"/>
        <v>565.80274514087989</v>
      </c>
      <c r="M40" s="20">
        <f t="shared" si="17"/>
        <v>573.9019215986159</v>
      </c>
      <c r="N40" s="42"/>
    </row>
    <row r="41" spans="1:14" s="39" customFormat="1" x14ac:dyDescent="0.15">
      <c r="A41" s="39" t="s">
        <v>34</v>
      </c>
      <c r="B41" s="43"/>
      <c r="C41" s="44"/>
      <c r="D41" s="44"/>
      <c r="E41" s="44">
        <f t="shared" ref="E41:M41" si="18">C$24*$F$14</f>
        <v>99.372</v>
      </c>
      <c r="F41" s="44">
        <f t="shared" si="18"/>
        <v>211.52039999999997</v>
      </c>
      <c r="G41" s="44">
        <f t="shared" si="18"/>
        <v>290.02427999999998</v>
      </c>
      <c r="H41" s="44">
        <f t="shared" si="18"/>
        <v>344.97699599999999</v>
      </c>
      <c r="I41" s="44">
        <f t="shared" si="18"/>
        <v>383.44389719999992</v>
      </c>
      <c r="J41" s="44">
        <f t="shared" si="18"/>
        <v>410.3707280399999</v>
      </c>
      <c r="K41" s="44">
        <f t="shared" si="18"/>
        <v>429.21950962799997</v>
      </c>
      <c r="L41" s="44">
        <f t="shared" si="18"/>
        <v>442.4136567395999</v>
      </c>
      <c r="M41" s="44">
        <f t="shared" si="18"/>
        <v>451.64955971771991</v>
      </c>
      <c r="N41" s="42"/>
    </row>
    <row r="42" spans="1:14" s="39" customFormat="1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s="39" customFormat="1" x14ac:dyDescent="0.15">
      <c r="A43" s="39" t="s">
        <v>25</v>
      </c>
      <c r="B43" s="20">
        <f>SUM(B44:B45)</f>
        <v>873.31666666666661</v>
      </c>
      <c r="C43" s="20">
        <f t="shared" ref="C43:M43" si="19">SUM(C44:C45)</f>
        <v>1099.9416666666666</v>
      </c>
      <c r="D43" s="20">
        <f t="shared" si="19"/>
        <v>1426.1124999999997</v>
      </c>
      <c r="E43" s="20">
        <f t="shared" si="19"/>
        <v>1710.0870833333333</v>
      </c>
      <c r="F43" s="20">
        <f t="shared" si="19"/>
        <v>1919.7892916666667</v>
      </c>
      <c r="G43" s="20">
        <f t="shared" si="19"/>
        <v>2066.5808374999997</v>
      </c>
      <c r="H43" s="20">
        <f t="shared" si="19"/>
        <v>2169.334919583333</v>
      </c>
      <c r="I43" s="20">
        <f t="shared" si="19"/>
        <v>2241.2627770416666</v>
      </c>
      <c r="J43" s="20">
        <f t="shared" si="19"/>
        <v>2291.6122772624994</v>
      </c>
      <c r="K43" s="20">
        <f t="shared" si="19"/>
        <v>2326.8569274170832</v>
      </c>
      <c r="L43" s="20">
        <f t="shared" si="19"/>
        <v>2351.5281825252914</v>
      </c>
      <c r="M43" s="20">
        <f t="shared" si="19"/>
        <v>2368.7980611010371</v>
      </c>
      <c r="N43" s="20"/>
    </row>
    <row r="44" spans="1:14" s="39" customFormat="1" x14ac:dyDescent="0.15">
      <c r="A44" s="39" t="s">
        <v>39</v>
      </c>
      <c r="B44" s="39">
        <f>B23*(SUM($E$10:$E$15)+($B$4*30*$E$16/9))</f>
        <v>873.31666666666661</v>
      </c>
      <c r="C44" s="39">
        <f t="shared" ref="C44:M44" si="20">C23*(SUM($E$10:$E$15)+($B$4*30*$E$16/9))</f>
        <v>873.31666666666661</v>
      </c>
      <c r="D44" s="39">
        <f t="shared" si="20"/>
        <v>873.31666666666661</v>
      </c>
      <c r="E44" s="39">
        <f t="shared" si="20"/>
        <v>873.31666666666661</v>
      </c>
      <c r="F44" s="39">
        <f t="shared" si="20"/>
        <v>873.31666666666661</v>
      </c>
      <c r="G44" s="39">
        <f t="shared" si="20"/>
        <v>873.31666666666661</v>
      </c>
      <c r="H44" s="39">
        <f t="shared" si="20"/>
        <v>873.31666666666661</v>
      </c>
      <c r="I44" s="39">
        <f t="shared" si="20"/>
        <v>873.31666666666661</v>
      </c>
      <c r="J44" s="39">
        <f t="shared" si="20"/>
        <v>873.31666666666661</v>
      </c>
      <c r="K44" s="39">
        <f t="shared" si="20"/>
        <v>873.31666666666661</v>
      </c>
      <c r="L44" s="39">
        <f t="shared" si="20"/>
        <v>873.31666666666661</v>
      </c>
      <c r="M44" s="39">
        <f t="shared" si="20"/>
        <v>873.31666666666661</v>
      </c>
      <c r="N44" s="20"/>
    </row>
    <row r="45" spans="1:14" s="39" customFormat="1" x14ac:dyDescent="0.15">
      <c r="A45" s="39" t="s">
        <v>37</v>
      </c>
      <c r="B45" s="39">
        <f t="shared" ref="B45:M45" si="21">SUM(B46:B50)</f>
        <v>0</v>
      </c>
      <c r="C45" s="39">
        <f>SUM(C46:C50)</f>
        <v>226.62499999999997</v>
      </c>
      <c r="D45" s="39">
        <f>SUM(D46:D50)</f>
        <v>552.79583333333323</v>
      </c>
      <c r="E45" s="39">
        <f t="shared" si="21"/>
        <v>836.77041666666662</v>
      </c>
      <c r="F45" s="39">
        <f t="shared" si="21"/>
        <v>1046.4726250000001</v>
      </c>
      <c r="G45" s="39">
        <f t="shared" si="21"/>
        <v>1193.2641708333333</v>
      </c>
      <c r="H45" s="39">
        <f t="shared" si="21"/>
        <v>1296.0182529166664</v>
      </c>
      <c r="I45" s="39">
        <f t="shared" si="21"/>
        <v>1367.946110375</v>
      </c>
      <c r="J45" s="39">
        <f t="shared" si="21"/>
        <v>1418.2956105958328</v>
      </c>
      <c r="K45" s="39">
        <f t="shared" si="21"/>
        <v>1453.5402607504163</v>
      </c>
      <c r="L45" s="39">
        <f t="shared" si="21"/>
        <v>1478.2115158586248</v>
      </c>
      <c r="M45" s="39">
        <f t="shared" si="21"/>
        <v>1495.4813944343705</v>
      </c>
      <c r="N45" s="20"/>
    </row>
    <row r="46" spans="1:14" s="39" customFormat="1" x14ac:dyDescent="0.15">
      <c r="A46" s="49" t="s">
        <v>58</v>
      </c>
      <c r="B46" s="40"/>
      <c r="C46" s="41">
        <f>(C$24*($B$4*15*$E$16/9))+(C$24*($B$5*15*$E$16/9))</f>
        <v>226.62499999999997</v>
      </c>
      <c r="D46" s="41">
        <f t="shared" ref="D46:M46" si="22">(((D$24-C$24)*($B$4*15*$E$16/9))+((D$24-C$24)*($B$5*15*$E$16/9)))+(C$24*($B$5*30*$E$16/9))</f>
        <v>406.84583333333325</v>
      </c>
      <c r="E46" s="41">
        <f t="shared" si="22"/>
        <v>500.62541666666664</v>
      </c>
      <c r="F46" s="41">
        <f t="shared" si="22"/>
        <v>566.27112499999998</v>
      </c>
      <c r="G46" s="41">
        <f t="shared" si="22"/>
        <v>612.22312083333327</v>
      </c>
      <c r="H46" s="41">
        <f t="shared" si="22"/>
        <v>644.38951791666659</v>
      </c>
      <c r="I46" s="41">
        <f t="shared" si="22"/>
        <v>666.90599587499992</v>
      </c>
      <c r="J46" s="41">
        <f t="shared" si="22"/>
        <v>682.66753044583311</v>
      </c>
      <c r="K46" s="41">
        <f t="shared" si="22"/>
        <v>693.70060464541655</v>
      </c>
      <c r="L46" s="41">
        <f t="shared" si="22"/>
        <v>701.42375658512492</v>
      </c>
      <c r="M46" s="41">
        <f t="shared" si="22"/>
        <v>706.8299629429207</v>
      </c>
      <c r="N46" s="42"/>
    </row>
    <row r="47" spans="1:14" s="39" customFormat="1" x14ac:dyDescent="0.15">
      <c r="A47" s="39" t="s">
        <v>42</v>
      </c>
      <c r="B47" s="42"/>
      <c r="C47" s="20"/>
      <c r="D47" s="20">
        <f t="shared" ref="D47:M47" si="23">C$24*$E$12</f>
        <v>80.430000000000007</v>
      </c>
      <c r="E47" s="20">
        <f t="shared" si="23"/>
        <v>171.20099999999999</v>
      </c>
      <c r="F47" s="20">
        <f t="shared" si="23"/>
        <v>234.7407</v>
      </c>
      <c r="G47" s="20">
        <f t="shared" si="23"/>
        <v>279.21848999999997</v>
      </c>
      <c r="H47" s="20">
        <f t="shared" si="23"/>
        <v>310.35294299999998</v>
      </c>
      <c r="I47" s="20">
        <f t="shared" si="23"/>
        <v>332.14706009999998</v>
      </c>
      <c r="J47" s="20">
        <f t="shared" si="23"/>
        <v>347.40294206999999</v>
      </c>
      <c r="K47" s="20">
        <f t="shared" si="23"/>
        <v>358.08205944899993</v>
      </c>
      <c r="L47" s="20">
        <f t="shared" si="23"/>
        <v>365.55744161429993</v>
      </c>
      <c r="M47" s="20">
        <f t="shared" si="23"/>
        <v>370.79020913000994</v>
      </c>
      <c r="N47" s="42"/>
    </row>
    <row r="48" spans="1:14" x14ac:dyDescent="0.15">
      <c r="A48" s="48" t="s">
        <v>64</v>
      </c>
      <c r="B48" s="10"/>
      <c r="C48" s="11"/>
      <c r="D48" s="17">
        <f>C$24*$E$13</f>
        <v>33.6</v>
      </c>
      <c r="E48" s="17">
        <f t="shared" ref="E48:M48" si="24">D$24*$E$13</f>
        <v>71.52</v>
      </c>
      <c r="F48" s="17">
        <f t="shared" si="24"/>
        <v>98.063999999999993</v>
      </c>
      <c r="G48" s="17">
        <f t="shared" si="24"/>
        <v>116.64479999999999</v>
      </c>
      <c r="H48" s="17">
        <f t="shared" si="24"/>
        <v>129.65135999999998</v>
      </c>
      <c r="I48" s="17">
        <f t="shared" si="24"/>
        <v>138.75595199999998</v>
      </c>
      <c r="J48" s="17">
        <f t="shared" si="24"/>
        <v>145.12916639999997</v>
      </c>
      <c r="K48" s="17">
        <f t="shared" si="24"/>
        <v>149.59041647999996</v>
      </c>
      <c r="L48" s="17">
        <f t="shared" si="24"/>
        <v>152.71329153599999</v>
      </c>
      <c r="M48" s="17">
        <f t="shared" si="24"/>
        <v>154.89930407519998</v>
      </c>
      <c r="N48" s="10"/>
    </row>
    <row r="49" spans="1:15" s="39" customFormat="1" x14ac:dyDescent="0.15">
      <c r="A49" s="49" t="s">
        <v>57</v>
      </c>
      <c r="B49" s="42"/>
      <c r="C49" s="20"/>
      <c r="D49" s="20">
        <f t="shared" ref="D49:M49" si="25">C$24*$E$15</f>
        <v>31.919999999999998</v>
      </c>
      <c r="E49" s="20">
        <f t="shared" si="25"/>
        <v>67.943999999999988</v>
      </c>
      <c r="F49" s="20">
        <f t="shared" si="25"/>
        <v>93.160799999999995</v>
      </c>
      <c r="G49" s="20">
        <f t="shared" si="25"/>
        <v>110.81255999999998</v>
      </c>
      <c r="H49" s="20">
        <f t="shared" si="25"/>
        <v>123.16879199999997</v>
      </c>
      <c r="I49" s="20">
        <f t="shared" si="25"/>
        <v>131.81815439999997</v>
      </c>
      <c r="J49" s="20">
        <f t="shared" si="25"/>
        <v>137.87270807999997</v>
      </c>
      <c r="K49" s="20">
        <f t="shared" si="25"/>
        <v>142.11089565599997</v>
      </c>
      <c r="L49" s="20">
        <f t="shared" si="25"/>
        <v>145.07762695919996</v>
      </c>
      <c r="M49" s="20">
        <f t="shared" si="25"/>
        <v>147.15433887143996</v>
      </c>
      <c r="N49" s="42"/>
    </row>
    <row r="50" spans="1:15" s="39" customFormat="1" x14ac:dyDescent="0.15">
      <c r="A50" s="39" t="s">
        <v>35</v>
      </c>
      <c r="B50" s="43"/>
      <c r="C50" s="44"/>
      <c r="D50" s="44"/>
      <c r="E50" s="44">
        <f t="shared" ref="E50:M50" si="26">C$24*$E$14</f>
        <v>25.48</v>
      </c>
      <c r="F50" s="44">
        <f t="shared" si="26"/>
        <v>54.235999999999997</v>
      </c>
      <c r="G50" s="44">
        <f t="shared" si="26"/>
        <v>74.365200000000002</v>
      </c>
      <c r="H50" s="44">
        <f t="shared" si="26"/>
        <v>88.455640000000002</v>
      </c>
      <c r="I50" s="44">
        <f t="shared" si="26"/>
        <v>98.318947999999992</v>
      </c>
      <c r="J50" s="44">
        <f t="shared" si="26"/>
        <v>105.22326359999998</v>
      </c>
      <c r="K50" s="44">
        <f t="shared" si="26"/>
        <v>110.05628451999999</v>
      </c>
      <c r="L50" s="44">
        <f t="shared" si="26"/>
        <v>113.43939916399998</v>
      </c>
      <c r="M50" s="44">
        <f t="shared" si="26"/>
        <v>115.80757941479999</v>
      </c>
      <c r="N50" s="42"/>
    </row>
    <row r="51" spans="1:15" s="6" customFormat="1" x14ac:dyDescent="0.1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5" s="18" customFormat="1" x14ac:dyDescent="0.15">
      <c r="A52" s="18" t="s">
        <v>40</v>
      </c>
      <c r="B52" s="19">
        <f>VLOOKUP(B43,Rebate_Table[],2,TRUE)</f>
        <v>0.06</v>
      </c>
      <c r="C52" s="19">
        <f>VLOOKUP(C43,Rebate_Table[],2,TRUE)</f>
        <v>0.09</v>
      </c>
      <c r="D52" s="19">
        <f>VLOOKUP(D43,Rebate_Table[],2,TRUE)</f>
        <v>0.09</v>
      </c>
      <c r="E52" s="19">
        <f>VLOOKUP(E43,Rebate_Table[],2,TRUE)</f>
        <v>0.09</v>
      </c>
      <c r="F52" s="19">
        <f>VLOOKUP(F43,Rebate_Table[],2,TRUE)</f>
        <v>0.09</v>
      </c>
      <c r="G52" s="19">
        <f>VLOOKUP(G43,Rebate_Table[],2,TRUE)</f>
        <v>0.12</v>
      </c>
      <c r="H52" s="19">
        <f>VLOOKUP(H43,Rebate_Table[],2,TRUE)</f>
        <v>0.12</v>
      </c>
      <c r="I52" s="19">
        <f>VLOOKUP(I43,Rebate_Table[],2,TRUE)</f>
        <v>0.12</v>
      </c>
      <c r="J52" s="19">
        <f>VLOOKUP(J43,Rebate_Table[],2,TRUE)</f>
        <v>0.12</v>
      </c>
      <c r="K52" s="19">
        <f>VLOOKUP(K43,Rebate_Table[],2,TRUE)</f>
        <v>0.12</v>
      </c>
      <c r="L52" s="19">
        <f>VLOOKUP(L43,Rebate_Table[],2,TRUE)</f>
        <v>0.12</v>
      </c>
      <c r="M52" s="19">
        <f>VLOOKUP(M43,Rebate_Table[],2,TRUE)</f>
        <v>0.12</v>
      </c>
      <c r="N52" s="19"/>
    </row>
    <row r="53" spans="1:15" s="21" customFormat="1" x14ac:dyDescent="0.15">
      <c r="A53" s="21" t="s">
        <v>18</v>
      </c>
      <c r="B53" s="21">
        <f>B52*(B34)</f>
        <v>204.35609999999997</v>
      </c>
      <c r="C53" s="21">
        <f t="shared" ref="C53:M53" si="27">C52*(C34)</f>
        <v>386.07952499999993</v>
      </c>
      <c r="D53" s="21">
        <f t="shared" si="27"/>
        <v>500.5654874999999</v>
      </c>
      <c r="E53" s="21">
        <f t="shared" si="27"/>
        <v>600.24056624999992</v>
      </c>
      <c r="F53" s="21">
        <f t="shared" si="27"/>
        <v>673.8460413749998</v>
      </c>
      <c r="G53" s="21">
        <f t="shared" si="27"/>
        <v>967.15983194999978</v>
      </c>
      <c r="H53" s="21">
        <f t="shared" si="27"/>
        <v>1015.2487423649999</v>
      </c>
      <c r="I53" s="21">
        <f t="shared" si="27"/>
        <v>1048.9109796554999</v>
      </c>
      <c r="J53" s="21">
        <f t="shared" si="27"/>
        <v>1072.4745457588499</v>
      </c>
      <c r="K53" s="21">
        <f t="shared" si="27"/>
        <v>1088.9690420311949</v>
      </c>
      <c r="L53" s="21">
        <f t="shared" si="27"/>
        <v>1100.5151894218363</v>
      </c>
      <c r="M53" s="21">
        <f t="shared" si="27"/>
        <v>1108.5974925952855</v>
      </c>
      <c r="N53" s="21">
        <f>SUM(B53:M53)</f>
        <v>9766.9635439026661</v>
      </c>
      <c r="O53" s="21">
        <f>M53*12</f>
        <v>13303.169911143426</v>
      </c>
    </row>
    <row r="55" spans="1:15" s="3" customFormat="1" ht="14" thickBot="1" x14ac:dyDescent="0.2">
      <c r="A55" s="3" t="s">
        <v>49</v>
      </c>
      <c r="B55" s="22">
        <f t="shared" ref="B55:M55" si="28">B26+B27+B53</f>
        <v>1363.1227666666668</v>
      </c>
      <c r="C55" s="22">
        <f t="shared" si="28"/>
        <v>1788.2711916666669</v>
      </c>
      <c r="D55" s="22">
        <f t="shared" si="28"/>
        <v>2315.5079875000006</v>
      </c>
      <c r="E55" s="22">
        <f t="shared" si="28"/>
        <v>2788.743649583334</v>
      </c>
      <c r="F55" s="22">
        <f t="shared" si="28"/>
        <v>3134.7615330416675</v>
      </c>
      <c r="G55" s="22">
        <f t="shared" si="28"/>
        <v>3618.7640094500002</v>
      </c>
      <c r="H55" s="22">
        <f t="shared" si="28"/>
        <v>3800.3349999483335</v>
      </c>
      <c r="I55" s="22">
        <f t="shared" si="28"/>
        <v>3927.4346932971671</v>
      </c>
      <c r="J55" s="22">
        <f t="shared" si="28"/>
        <v>4016.4044786413506</v>
      </c>
      <c r="K55" s="22">
        <f t="shared" si="28"/>
        <v>4078.6833283822784</v>
      </c>
      <c r="L55" s="22">
        <f t="shared" si="28"/>
        <v>4122.2785232009282</v>
      </c>
      <c r="M55" s="22">
        <f t="shared" si="28"/>
        <v>4152.7951595739833</v>
      </c>
      <c r="N55" s="22">
        <f>SUM(B55:M55)</f>
        <v>39107.102320952385</v>
      </c>
      <c r="O55" s="22">
        <f>O26+O27+O53</f>
        <v>49833.541914887806</v>
      </c>
    </row>
  </sheetData>
  <sheetProtection password="C889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5"/>
  <sheetViews>
    <sheetView tabSelected="1" workbookViewId="0">
      <selection activeCell="A9" sqref="A9:XFD16"/>
    </sheetView>
  </sheetViews>
  <sheetFormatPr baseColWidth="10" defaultColWidth="8.83203125" defaultRowHeight="13" x14ac:dyDescent="0.15"/>
  <cols>
    <col min="1" max="1" width="39.5" bestFit="1" customWidth="1"/>
    <col min="2" max="5" width="9.33203125" bestFit="1" customWidth="1"/>
    <col min="6" max="13" width="10.33203125" bestFit="1" customWidth="1"/>
    <col min="14" max="14" width="11.33203125" bestFit="1" customWidth="1"/>
    <col min="15" max="15" width="11.1640625" bestFit="1" customWidth="1"/>
  </cols>
  <sheetData>
    <row r="1" spans="1:14" s="4" customFormat="1" ht="16" x14ac:dyDescent="0.2">
      <c r="A1" s="61" t="s">
        <v>50</v>
      </c>
    </row>
    <row r="3" spans="1:14" s="3" customFormat="1" x14ac:dyDescent="0.15">
      <c r="A3" s="24" t="s">
        <v>12</v>
      </c>
      <c r="B3" s="25"/>
      <c r="C3" s="25"/>
      <c r="D3" s="25"/>
      <c r="E3" s="25"/>
      <c r="F3" s="25"/>
      <c r="G3" s="26"/>
      <c r="H3" s="50"/>
      <c r="I3" s="50"/>
      <c r="J3" s="50"/>
      <c r="K3" s="50"/>
      <c r="L3" s="50"/>
      <c r="M3" s="50"/>
      <c r="N3" s="50"/>
    </row>
    <row r="4" spans="1:14" x14ac:dyDescent="0.15">
      <c r="A4" s="27" t="s">
        <v>15</v>
      </c>
      <c r="B4" s="58">
        <v>2</v>
      </c>
      <c r="C4" s="29" t="s">
        <v>28</v>
      </c>
      <c r="D4" s="29"/>
      <c r="E4" s="29"/>
      <c r="F4" s="29"/>
      <c r="G4" s="30"/>
      <c r="H4" s="29"/>
      <c r="I4" s="29"/>
      <c r="J4" s="29"/>
      <c r="K4" s="29"/>
      <c r="L4" s="29"/>
      <c r="M4" s="29"/>
      <c r="N4" s="29"/>
    </row>
    <row r="5" spans="1:14" x14ac:dyDescent="0.15">
      <c r="A5" s="27" t="s">
        <v>15</v>
      </c>
      <c r="B5" s="58">
        <v>1</v>
      </c>
      <c r="C5" s="29" t="s">
        <v>29</v>
      </c>
      <c r="D5" s="29"/>
      <c r="E5" s="29"/>
      <c r="F5" s="29"/>
      <c r="G5" s="30"/>
      <c r="H5" s="29"/>
      <c r="I5" s="29"/>
      <c r="J5" s="29"/>
      <c r="K5" s="29"/>
      <c r="L5" s="29"/>
      <c r="M5" s="29"/>
      <c r="N5" s="29"/>
    </row>
    <row r="6" spans="1:14" x14ac:dyDescent="0.15">
      <c r="A6" s="27"/>
      <c r="B6" s="29"/>
      <c r="C6" s="29"/>
      <c r="D6" s="29"/>
      <c r="E6" s="29"/>
      <c r="F6" s="29"/>
      <c r="G6" s="30"/>
      <c r="H6" s="29"/>
      <c r="I6" s="29"/>
      <c r="J6" s="29"/>
      <c r="K6" s="29"/>
      <c r="L6" s="29"/>
      <c r="M6" s="29"/>
      <c r="N6" s="29"/>
    </row>
    <row r="7" spans="1:14" x14ac:dyDescent="0.15">
      <c r="A7" s="27" t="s">
        <v>46</v>
      </c>
      <c r="B7" s="59">
        <v>0.7</v>
      </c>
      <c r="C7" s="29"/>
      <c r="D7" s="29"/>
      <c r="E7" s="29"/>
      <c r="F7" s="29"/>
      <c r="G7" s="30"/>
      <c r="H7" s="29"/>
      <c r="I7" s="29"/>
      <c r="J7" s="29"/>
      <c r="K7" s="29"/>
      <c r="L7" s="29"/>
      <c r="M7" s="29"/>
      <c r="N7" s="29"/>
    </row>
    <row r="8" spans="1:14" x14ac:dyDescent="0.15">
      <c r="A8" s="27"/>
      <c r="B8" s="29"/>
      <c r="C8" s="29"/>
      <c r="D8" s="29"/>
      <c r="E8" s="29"/>
      <c r="F8" s="29"/>
      <c r="G8" s="30"/>
      <c r="H8" s="29"/>
      <c r="I8" s="29"/>
      <c r="J8" s="29"/>
      <c r="K8" s="29"/>
      <c r="L8" s="29"/>
      <c r="M8" s="29"/>
      <c r="N8" s="29"/>
    </row>
    <row r="9" spans="1:14" s="35" customFormat="1" ht="12" x14ac:dyDescent="0.15">
      <c r="A9" s="36"/>
      <c r="B9" s="37" t="s">
        <v>19</v>
      </c>
      <c r="C9" s="37" t="s">
        <v>20</v>
      </c>
      <c r="D9" s="37" t="s">
        <v>21</v>
      </c>
      <c r="E9" s="37" t="s">
        <v>22</v>
      </c>
      <c r="F9" s="37" t="s">
        <v>27</v>
      </c>
      <c r="G9" s="38"/>
      <c r="H9" s="37"/>
      <c r="I9" s="37"/>
      <c r="J9" s="37"/>
      <c r="K9" s="37"/>
      <c r="L9" s="37"/>
      <c r="M9" s="37"/>
      <c r="N9" s="37"/>
    </row>
    <row r="10" spans="1:14" x14ac:dyDescent="0.15">
      <c r="A10" s="27" t="s">
        <v>24</v>
      </c>
      <c r="B10" s="11">
        <f>VLOOKUP($A10,Products[],2,0)</f>
        <v>85</v>
      </c>
      <c r="C10" s="11">
        <f>VLOOKUP($A10,Products[],3,0)</f>
        <v>72</v>
      </c>
      <c r="D10" s="11">
        <f>B10-C10</f>
        <v>13</v>
      </c>
      <c r="E10" s="17"/>
      <c r="F10" s="17"/>
      <c r="G10" s="30"/>
      <c r="H10" s="29"/>
      <c r="I10" s="29"/>
      <c r="J10" s="29"/>
      <c r="K10" s="29"/>
      <c r="L10" s="29"/>
      <c r="M10" s="29"/>
      <c r="N10" s="29"/>
    </row>
    <row r="11" spans="1:14" x14ac:dyDescent="0.15">
      <c r="A11" s="45" t="s">
        <v>53</v>
      </c>
      <c r="B11" s="11">
        <f>VLOOKUP($A11,Products[],2,0)</f>
        <v>224.95</v>
      </c>
      <c r="C11" s="11">
        <f>VLOOKUP($A11,Products[],3,0)</f>
        <v>168.83</v>
      </c>
      <c r="D11" s="46">
        <f>B11-C11</f>
        <v>56.119999999999976</v>
      </c>
      <c r="E11" s="47">
        <f>VLOOKUP($A11,Products[],5,0)</f>
        <v>39.35</v>
      </c>
      <c r="F11" s="11">
        <f>VLOOKUP($A11,Products[],6,0)</f>
        <v>153.465</v>
      </c>
      <c r="G11" s="30"/>
      <c r="H11" s="29"/>
      <c r="I11" s="29"/>
      <c r="J11" s="29"/>
      <c r="K11" s="29"/>
      <c r="L11" s="29"/>
      <c r="M11" s="29"/>
      <c r="N11" s="29"/>
    </row>
    <row r="12" spans="1:14" x14ac:dyDescent="0.15">
      <c r="A12" s="45" t="s">
        <v>59</v>
      </c>
      <c r="B12" s="11">
        <f>VLOOKUP($A12,Products[],2,0)</f>
        <v>133.05000000000001</v>
      </c>
      <c r="C12" s="11">
        <f>VLOOKUP($A12,Products[],3,0)</f>
        <v>98.57</v>
      </c>
      <c r="D12" s="11">
        <f t="shared" ref="D12:D14" si="0">B12-C12</f>
        <v>34.480000000000018</v>
      </c>
      <c r="E12" s="47">
        <f>VLOOKUP($A12,Products[],5,0)</f>
        <v>22.98</v>
      </c>
      <c r="F12" s="11">
        <f>VLOOKUP($A12,Products[],6,0)</f>
        <v>89.622</v>
      </c>
      <c r="G12" s="30"/>
      <c r="H12" s="29"/>
      <c r="I12" s="29"/>
      <c r="J12" s="29"/>
      <c r="K12" s="29"/>
      <c r="L12" s="29"/>
      <c r="M12" s="29"/>
      <c r="N12" s="29"/>
    </row>
    <row r="13" spans="1:14" x14ac:dyDescent="0.15">
      <c r="A13" s="45" t="s">
        <v>61</v>
      </c>
      <c r="B13" s="11">
        <f>VLOOKUP($A13,Products[],2,0)</f>
        <v>55.61</v>
      </c>
      <c r="C13" s="11">
        <f>VLOOKUP($A13,Products[],3,0)</f>
        <v>41.18</v>
      </c>
      <c r="D13" s="46">
        <f>B13-C13</f>
        <v>14.43</v>
      </c>
      <c r="E13" s="47">
        <f>VLOOKUP($A13,Products[],5,0)</f>
        <v>9.6</v>
      </c>
      <c r="F13" s="11">
        <f>VLOOKUP($A13,Products[],6,0)</f>
        <v>37.44</v>
      </c>
      <c r="G13" s="51"/>
      <c r="H13" s="29"/>
      <c r="I13" s="28"/>
      <c r="J13" s="31"/>
      <c r="K13" s="29"/>
      <c r="L13" s="29"/>
      <c r="M13" s="29"/>
      <c r="N13" s="29"/>
    </row>
    <row r="14" spans="1:14" x14ac:dyDescent="0.15">
      <c r="A14" s="45" t="s">
        <v>60</v>
      </c>
      <c r="B14" s="11">
        <f>VLOOKUP($A14,Products[],2,0)</f>
        <v>36.36</v>
      </c>
      <c r="C14" s="11">
        <f>VLOOKUP($A14,Products[],3,0)</f>
        <v>29.08</v>
      </c>
      <c r="D14" s="11">
        <f t="shared" si="0"/>
        <v>7.2800000000000011</v>
      </c>
      <c r="E14" s="47">
        <f>VLOOKUP($A14,Products[],5,0)</f>
        <v>7.28</v>
      </c>
      <c r="F14" s="11">
        <f>VLOOKUP($A14,Products[],6,0)</f>
        <v>28.391999999999999</v>
      </c>
      <c r="G14" s="30"/>
      <c r="H14" s="29"/>
      <c r="I14" s="29"/>
      <c r="J14" s="29"/>
      <c r="K14" s="29"/>
      <c r="L14" s="29"/>
      <c r="M14" s="29"/>
      <c r="N14" s="29"/>
    </row>
    <row r="15" spans="1:14" x14ac:dyDescent="0.15">
      <c r="A15" s="45" t="s">
        <v>51</v>
      </c>
      <c r="B15" s="11">
        <f>VLOOKUP($A15,Products[],2,0)</f>
        <v>52.86</v>
      </c>
      <c r="C15" s="11">
        <f>VLOOKUP($A15,Products[],3,0)</f>
        <v>39.15</v>
      </c>
      <c r="D15" s="11">
        <f>B15-C15</f>
        <v>13.71</v>
      </c>
      <c r="E15" s="47">
        <f>VLOOKUP($A15,Products[],5,0)</f>
        <v>9.1199999999999992</v>
      </c>
      <c r="F15" s="11">
        <f>VLOOKUP($A15,Products[],6,0)</f>
        <v>35.567999999999998</v>
      </c>
      <c r="G15" s="30"/>
      <c r="H15" s="29"/>
      <c r="I15" s="29"/>
      <c r="J15" s="29"/>
      <c r="K15" s="29"/>
      <c r="L15" s="29"/>
      <c r="M15" s="29"/>
      <c r="N15" s="29"/>
    </row>
    <row r="16" spans="1:14" x14ac:dyDescent="0.15">
      <c r="A16" s="27" t="s">
        <v>23</v>
      </c>
      <c r="B16" s="11">
        <f>VLOOKUP($A16,Products[],2,0)</f>
        <v>69.45</v>
      </c>
      <c r="C16" s="11">
        <f>VLOOKUP($A16,Products[],3,0)</f>
        <v>55.54</v>
      </c>
      <c r="D16" s="11">
        <f>B16-C16</f>
        <v>13.910000000000004</v>
      </c>
      <c r="E16" s="47">
        <f>VLOOKUP($A16,Products[],5,0)</f>
        <v>12.95</v>
      </c>
      <c r="F16" s="11">
        <f>VLOOKUP($A16,Products[],6,0)</f>
        <v>50.504999999999995</v>
      </c>
      <c r="G16" s="30"/>
      <c r="H16" s="29"/>
      <c r="I16" s="29"/>
      <c r="J16" s="29"/>
      <c r="K16" s="29"/>
      <c r="L16" s="29"/>
      <c r="M16" s="29"/>
      <c r="N16" s="29"/>
    </row>
    <row r="17" spans="1:15" x14ac:dyDescent="0.15">
      <c r="A17" s="32"/>
      <c r="B17" s="33"/>
      <c r="C17" s="13"/>
      <c r="D17" s="33"/>
      <c r="E17" s="33"/>
      <c r="F17" s="33"/>
      <c r="G17" s="34"/>
      <c r="H17" s="29"/>
      <c r="I17" s="28"/>
      <c r="J17" s="31"/>
      <c r="K17" s="29"/>
      <c r="L17" s="29"/>
      <c r="M17" s="29"/>
      <c r="N17" s="29"/>
    </row>
    <row r="18" spans="1:15" x14ac:dyDescent="0.15">
      <c r="C18" s="5"/>
      <c r="D18" s="5"/>
      <c r="I18" s="1"/>
      <c r="J18" s="23"/>
    </row>
    <row r="19" spans="1:15" x14ac:dyDescent="0.15">
      <c r="I19" s="1"/>
      <c r="J19" s="23"/>
    </row>
    <row r="20" spans="1:15" s="3" customFormat="1" x14ac:dyDescent="0.15">
      <c r="A20" s="3" t="s">
        <v>31</v>
      </c>
      <c r="B20" s="60">
        <v>10</v>
      </c>
      <c r="C20" s="3" t="s">
        <v>32</v>
      </c>
    </row>
    <row r="22" spans="1:15" s="2" customFormat="1" x14ac:dyDescent="0.15"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  <c r="H22" s="2" t="s">
        <v>6</v>
      </c>
      <c r="I22" s="2" t="s">
        <v>7</v>
      </c>
      <c r="J22" s="2" t="s">
        <v>8</v>
      </c>
      <c r="K22" s="2" t="s">
        <v>9</v>
      </c>
      <c r="L22" s="2" t="s">
        <v>10</v>
      </c>
      <c r="M22" s="2" t="s">
        <v>11</v>
      </c>
      <c r="N22" s="2" t="s">
        <v>33</v>
      </c>
      <c r="O22" s="2" t="s">
        <v>44</v>
      </c>
    </row>
    <row r="23" spans="1:15" x14ac:dyDescent="0.15">
      <c r="A23" t="s">
        <v>14</v>
      </c>
      <c r="B23" s="7">
        <f>$B$20</f>
        <v>10</v>
      </c>
      <c r="C23" s="7">
        <f t="shared" ref="C23:M23" si="1">$B$20</f>
        <v>10</v>
      </c>
      <c r="D23" s="7">
        <f t="shared" si="1"/>
        <v>10</v>
      </c>
      <c r="E23" s="7">
        <f t="shared" si="1"/>
        <v>10</v>
      </c>
      <c r="F23" s="7">
        <f t="shared" si="1"/>
        <v>10</v>
      </c>
      <c r="G23" s="7">
        <f t="shared" si="1"/>
        <v>10</v>
      </c>
      <c r="H23" s="7">
        <f t="shared" si="1"/>
        <v>10</v>
      </c>
      <c r="I23" s="7">
        <f t="shared" si="1"/>
        <v>10</v>
      </c>
      <c r="J23" s="7">
        <f t="shared" si="1"/>
        <v>10</v>
      </c>
      <c r="K23" s="7">
        <f t="shared" si="1"/>
        <v>10</v>
      </c>
      <c r="L23" s="7">
        <f t="shared" si="1"/>
        <v>10</v>
      </c>
      <c r="M23" s="7">
        <f t="shared" si="1"/>
        <v>10</v>
      </c>
    </row>
    <row r="24" spans="1:15" x14ac:dyDescent="0.15">
      <c r="A24" t="s">
        <v>13</v>
      </c>
      <c r="B24" s="1"/>
      <c r="C24" s="1">
        <f>B23*$B$7</f>
        <v>7</v>
      </c>
      <c r="D24" s="7">
        <f>C23+(C24*$B$7)</f>
        <v>14.899999999999999</v>
      </c>
      <c r="E24" s="7">
        <f t="shared" ref="E24:L24" si="2">D23+(D24*$B$7)</f>
        <v>20.43</v>
      </c>
      <c r="F24" s="7">
        <f t="shared" si="2"/>
        <v>24.300999999999998</v>
      </c>
      <c r="G24" s="7">
        <f t="shared" si="2"/>
        <v>27.010699999999996</v>
      </c>
      <c r="H24" s="7">
        <f t="shared" si="2"/>
        <v>28.907489999999996</v>
      </c>
      <c r="I24" s="7">
        <f t="shared" si="2"/>
        <v>30.235242999999997</v>
      </c>
      <c r="J24" s="7">
        <f t="shared" si="2"/>
        <v>31.164670099999995</v>
      </c>
      <c r="K24" s="7">
        <f t="shared" si="2"/>
        <v>31.815269069999996</v>
      </c>
      <c r="L24" s="7">
        <f t="shared" si="2"/>
        <v>32.270688348999997</v>
      </c>
      <c r="M24" s="7">
        <f>L23+(L24*$B$7)</f>
        <v>32.589481844299996</v>
      </c>
    </row>
    <row r="25" spans="1:15" x14ac:dyDescent="0.15">
      <c r="F25" t="s">
        <v>45</v>
      </c>
    </row>
    <row r="26" spans="1:15" s="3" customFormat="1" x14ac:dyDescent="0.15">
      <c r="A26" s="3" t="s">
        <v>16</v>
      </c>
      <c r="B26" s="21">
        <f>B23*(SUM($D$10:$D$15)+($B$4*30*$D$16/9))</f>
        <v>2317.5333333333338</v>
      </c>
      <c r="C26" s="21">
        <f t="shared" ref="C26:M26" si="3">C23*(SUM($D$10:$D$15)+($B$4*30*$D$16/9))</f>
        <v>2317.5333333333338</v>
      </c>
      <c r="D26" s="21">
        <f t="shared" si="3"/>
        <v>2317.5333333333338</v>
      </c>
      <c r="E26" s="21">
        <f t="shared" si="3"/>
        <v>2317.5333333333338</v>
      </c>
      <c r="F26" s="21">
        <f t="shared" si="3"/>
        <v>2317.5333333333338</v>
      </c>
      <c r="G26" s="21">
        <f t="shared" si="3"/>
        <v>2317.5333333333338</v>
      </c>
      <c r="H26" s="21">
        <f t="shared" si="3"/>
        <v>2317.5333333333338</v>
      </c>
      <c r="I26" s="21">
        <f t="shared" si="3"/>
        <v>2317.5333333333338</v>
      </c>
      <c r="J26" s="21">
        <f t="shared" si="3"/>
        <v>2317.5333333333338</v>
      </c>
      <c r="K26" s="21">
        <f t="shared" si="3"/>
        <v>2317.5333333333338</v>
      </c>
      <c r="L26" s="21">
        <f t="shared" si="3"/>
        <v>2317.5333333333338</v>
      </c>
      <c r="M26" s="21">
        <f t="shared" si="3"/>
        <v>2317.5333333333338</v>
      </c>
      <c r="N26" s="21">
        <f>SUM(B26:M26)</f>
        <v>27810.399999999998</v>
      </c>
      <c r="O26" s="21">
        <f>M26*12</f>
        <v>27810.400000000005</v>
      </c>
    </row>
    <row r="27" spans="1:15" s="3" customFormat="1" x14ac:dyDescent="0.15">
      <c r="A27" s="3" t="s">
        <v>17</v>
      </c>
      <c r="B27" s="21">
        <f t="shared" ref="B27:M27" si="4">SUM(B28:B32)</f>
        <v>0</v>
      </c>
      <c r="C27" s="21">
        <f t="shared" si="4"/>
        <v>486.85000000000014</v>
      </c>
      <c r="D27" s="21">
        <f t="shared" si="4"/>
        <v>1312.3516666666671</v>
      </c>
      <c r="E27" s="21">
        <f t="shared" si="4"/>
        <v>2059.4728333333337</v>
      </c>
      <c r="F27" s="21">
        <f t="shared" si="4"/>
        <v>2604.2976500000009</v>
      </c>
      <c r="G27" s="21">
        <f t="shared" si="4"/>
        <v>2985.6750216666674</v>
      </c>
      <c r="H27" s="21">
        <f t="shared" si="4"/>
        <v>3252.6391818333336</v>
      </c>
      <c r="I27" s="21">
        <f t="shared" si="4"/>
        <v>3439.5140939500006</v>
      </c>
      <c r="J27" s="21">
        <f t="shared" si="4"/>
        <v>3570.3265324316671</v>
      </c>
      <c r="K27" s="21">
        <f t="shared" si="4"/>
        <v>3661.8952393688337</v>
      </c>
      <c r="L27" s="21">
        <f>SUM(L28:L32)</f>
        <v>3725.9933342248505</v>
      </c>
      <c r="M27" s="21">
        <f t="shared" si="4"/>
        <v>3770.8620006240626</v>
      </c>
      <c r="N27" s="21">
        <f>SUM(B27:M27)</f>
        <v>30869.877554099421</v>
      </c>
      <c r="O27" s="21">
        <f>M27*12</f>
        <v>45250.344007488748</v>
      </c>
    </row>
    <row r="28" spans="1:15" x14ac:dyDescent="0.15">
      <c r="A28" s="48" t="s">
        <v>54</v>
      </c>
      <c r="B28" s="8"/>
      <c r="C28" s="9">
        <f>(C$24*($B$4*15*$D$16/9))+(C$24*($B$5*15*$D$16/9))</f>
        <v>486.85000000000014</v>
      </c>
      <c r="D28" s="9">
        <f t="shared" ref="D28:M28" si="5">(((D$24-C$24)*($B$4*15*$D$16/9))+((D$24-C$24)*($B$5*15*$D$16/9)))+(C$24*($B$5*30*$D$16/9))</f>
        <v>874.011666666667</v>
      </c>
      <c r="E28" s="9">
        <f t="shared" si="5"/>
        <v>1075.4748333333337</v>
      </c>
      <c r="F28" s="9">
        <f t="shared" si="5"/>
        <v>1216.4990500000004</v>
      </c>
      <c r="G28" s="9">
        <f t="shared" si="5"/>
        <v>1315.2160016666669</v>
      </c>
      <c r="H28" s="9">
        <f t="shared" si="5"/>
        <v>1384.3178678333336</v>
      </c>
      <c r="I28" s="9">
        <f t="shared" si="5"/>
        <v>1432.6891741500003</v>
      </c>
      <c r="J28" s="9">
        <f t="shared" si="5"/>
        <v>1466.549088571667</v>
      </c>
      <c r="K28" s="9">
        <f t="shared" si="5"/>
        <v>1490.2510286668337</v>
      </c>
      <c r="L28" s="9">
        <f t="shared" si="5"/>
        <v>1506.8423867334504</v>
      </c>
      <c r="M28" s="9">
        <f t="shared" si="5"/>
        <v>1518.456337380082</v>
      </c>
      <c r="N28" s="14">
        <f t="shared" ref="N28:N32" si="6">SUM(B28:M28)</f>
        <v>13767.157435002035</v>
      </c>
    </row>
    <row r="29" spans="1:15" x14ac:dyDescent="0.15">
      <c r="A29" t="s">
        <v>43</v>
      </c>
      <c r="B29" s="10"/>
      <c r="C29" s="11"/>
      <c r="D29" s="11">
        <f t="shared" ref="D29:M29" si="7">C$24*$D$12</f>
        <v>241.36000000000013</v>
      </c>
      <c r="E29" s="11">
        <f t="shared" si="7"/>
        <v>513.75200000000018</v>
      </c>
      <c r="F29" s="11">
        <f t="shared" si="7"/>
        <v>704.4264000000004</v>
      </c>
      <c r="G29" s="11">
        <f t="shared" si="7"/>
        <v>837.8984800000004</v>
      </c>
      <c r="H29" s="11">
        <f t="shared" si="7"/>
        <v>931.32893600000034</v>
      </c>
      <c r="I29" s="11">
        <f t="shared" si="7"/>
        <v>996.73025520000033</v>
      </c>
      <c r="J29" s="11">
        <f t="shared" si="7"/>
        <v>1042.5111786400005</v>
      </c>
      <c r="K29" s="11">
        <f t="shared" si="7"/>
        <v>1074.5578250480005</v>
      </c>
      <c r="L29" s="11">
        <f t="shared" si="7"/>
        <v>1096.9904775336004</v>
      </c>
      <c r="M29" s="11">
        <f t="shared" si="7"/>
        <v>1112.6933342735206</v>
      </c>
      <c r="N29" s="15">
        <f t="shared" si="6"/>
        <v>8552.2488866951244</v>
      </c>
    </row>
    <row r="30" spans="1:15" x14ac:dyDescent="0.15">
      <c r="A30" s="48" t="s">
        <v>62</v>
      </c>
      <c r="B30" s="10"/>
      <c r="C30" s="11"/>
      <c r="D30" s="11">
        <f>C$24*$D$13</f>
        <v>101.00999999999999</v>
      </c>
      <c r="E30" s="11">
        <f t="shared" ref="E30:M30" si="8">D$24*$D$13</f>
        <v>215.00699999999998</v>
      </c>
      <c r="F30" s="11">
        <f t="shared" si="8"/>
        <v>294.80489999999998</v>
      </c>
      <c r="G30" s="11">
        <f t="shared" si="8"/>
        <v>350.66342999999995</v>
      </c>
      <c r="H30" s="11">
        <f t="shared" si="8"/>
        <v>389.76440099999996</v>
      </c>
      <c r="I30" s="11">
        <f t="shared" si="8"/>
        <v>417.13508069999995</v>
      </c>
      <c r="J30" s="11">
        <f t="shared" si="8"/>
        <v>436.29455648999993</v>
      </c>
      <c r="K30" s="11">
        <f t="shared" si="8"/>
        <v>449.70618954299994</v>
      </c>
      <c r="L30" s="11">
        <f t="shared" si="8"/>
        <v>459.09433268009991</v>
      </c>
      <c r="M30" s="11">
        <f t="shared" si="8"/>
        <v>465.66603287606995</v>
      </c>
      <c r="N30" s="15">
        <f>SUM(B30:M30)</f>
        <v>3579.1459232891693</v>
      </c>
    </row>
    <row r="31" spans="1:15" x14ac:dyDescent="0.15">
      <c r="A31" s="48" t="s">
        <v>52</v>
      </c>
      <c r="B31" s="10"/>
      <c r="C31" s="11"/>
      <c r="D31" s="11">
        <f t="shared" ref="D31:M31" si="9">C$24*$D$15</f>
        <v>95.97</v>
      </c>
      <c r="E31" s="11">
        <f t="shared" si="9"/>
        <v>204.279</v>
      </c>
      <c r="F31" s="11">
        <f t="shared" si="9"/>
        <v>280.09530000000001</v>
      </c>
      <c r="G31" s="11">
        <f t="shared" si="9"/>
        <v>333.16671000000002</v>
      </c>
      <c r="H31" s="11">
        <f t="shared" si="9"/>
        <v>370.31669699999998</v>
      </c>
      <c r="I31" s="11">
        <f t="shared" si="9"/>
        <v>396.32168789999997</v>
      </c>
      <c r="J31" s="11">
        <f t="shared" si="9"/>
        <v>414.52518153</v>
      </c>
      <c r="K31" s="11">
        <f t="shared" si="9"/>
        <v>427.26762707099994</v>
      </c>
      <c r="L31" s="11">
        <f t="shared" si="9"/>
        <v>436.18733894969995</v>
      </c>
      <c r="M31" s="11">
        <f t="shared" si="9"/>
        <v>442.43113726478998</v>
      </c>
      <c r="N31" s="15">
        <f t="shared" si="6"/>
        <v>3400.5606797154896</v>
      </c>
    </row>
    <row r="32" spans="1:15" x14ac:dyDescent="0.15">
      <c r="A32" t="s">
        <v>30</v>
      </c>
      <c r="B32" s="12"/>
      <c r="C32" s="13"/>
      <c r="D32" s="13"/>
      <c r="E32" s="13">
        <f t="shared" ref="E32:M32" si="10">C$24*$D$14</f>
        <v>50.960000000000008</v>
      </c>
      <c r="F32" s="13">
        <f t="shared" si="10"/>
        <v>108.47200000000001</v>
      </c>
      <c r="G32" s="13">
        <f t="shared" si="10"/>
        <v>148.73040000000003</v>
      </c>
      <c r="H32" s="13">
        <f t="shared" si="10"/>
        <v>176.91128</v>
      </c>
      <c r="I32" s="13">
        <f t="shared" si="10"/>
        <v>196.63789600000001</v>
      </c>
      <c r="J32" s="13">
        <f t="shared" si="10"/>
        <v>210.44652719999999</v>
      </c>
      <c r="K32" s="13">
        <f t="shared" si="10"/>
        <v>220.11256904000001</v>
      </c>
      <c r="L32" s="13">
        <f t="shared" si="10"/>
        <v>226.87879832799999</v>
      </c>
      <c r="M32" s="13">
        <f t="shared" si="10"/>
        <v>231.61515882960001</v>
      </c>
      <c r="N32" s="16">
        <f t="shared" si="6"/>
        <v>1570.7646293975999</v>
      </c>
    </row>
    <row r="33" spans="1:14" x14ac:dyDescent="0.1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15">
      <c r="A34" t="s">
        <v>26</v>
      </c>
      <c r="B34" s="20">
        <f>SUM(B35:B36)</f>
        <v>6811.869999999999</v>
      </c>
      <c r="C34" s="20">
        <f t="shared" ref="C34:M34" si="11">SUM(C35:C36)</f>
        <v>8579.5449999999983</v>
      </c>
      <c r="D34" s="20">
        <f t="shared" si="11"/>
        <v>11123.677499999998</v>
      </c>
      <c r="E34" s="20">
        <f t="shared" si="11"/>
        <v>13338.679249999997</v>
      </c>
      <c r="F34" s="20">
        <f t="shared" si="11"/>
        <v>14974.356474999997</v>
      </c>
      <c r="G34" s="20">
        <f t="shared" si="11"/>
        <v>16119.330532499996</v>
      </c>
      <c r="H34" s="20">
        <f t="shared" si="11"/>
        <v>16920.812372749999</v>
      </c>
      <c r="I34" s="20">
        <f t="shared" si="11"/>
        <v>17481.849660925</v>
      </c>
      <c r="J34" s="20">
        <f t="shared" si="11"/>
        <v>17874.575762647499</v>
      </c>
      <c r="K34" s="20">
        <f t="shared" si="11"/>
        <v>18149.484033853249</v>
      </c>
      <c r="L34" s="20">
        <f t="shared" si="11"/>
        <v>18341.919823697273</v>
      </c>
      <c r="M34" s="20">
        <f t="shared" si="11"/>
        <v>18476.624876588092</v>
      </c>
      <c r="N34" s="11"/>
    </row>
    <row r="35" spans="1:14" s="39" customFormat="1" x14ac:dyDescent="0.15">
      <c r="A35" s="39" t="s">
        <v>38</v>
      </c>
      <c r="B35" s="39">
        <f>B23*(SUM($F$10:$F$15)+($B$4*30*$F$16/9))</f>
        <v>6811.869999999999</v>
      </c>
      <c r="C35" s="39">
        <f t="shared" ref="C35:M35" si="12">C23*(SUM($F$10:$F$15)+($B$4*30*$F$16/9))</f>
        <v>6811.869999999999</v>
      </c>
      <c r="D35" s="39">
        <f t="shared" si="12"/>
        <v>6811.869999999999</v>
      </c>
      <c r="E35" s="39">
        <f t="shared" si="12"/>
        <v>6811.869999999999</v>
      </c>
      <c r="F35" s="39">
        <f t="shared" si="12"/>
        <v>6811.869999999999</v>
      </c>
      <c r="G35" s="39">
        <f t="shared" si="12"/>
        <v>6811.869999999999</v>
      </c>
      <c r="H35" s="39">
        <f t="shared" si="12"/>
        <v>6811.869999999999</v>
      </c>
      <c r="I35" s="39">
        <f t="shared" si="12"/>
        <v>6811.869999999999</v>
      </c>
      <c r="J35" s="39">
        <f t="shared" si="12"/>
        <v>6811.869999999999</v>
      </c>
      <c r="K35" s="39">
        <f t="shared" si="12"/>
        <v>6811.869999999999</v>
      </c>
      <c r="L35" s="39">
        <f t="shared" si="12"/>
        <v>6811.869999999999</v>
      </c>
      <c r="M35" s="39">
        <f t="shared" si="12"/>
        <v>6811.869999999999</v>
      </c>
      <c r="N35" s="20"/>
    </row>
    <row r="36" spans="1:14" s="39" customFormat="1" x14ac:dyDescent="0.15">
      <c r="A36" s="39" t="s">
        <v>36</v>
      </c>
      <c r="B36" s="39">
        <f>SUM(B37:B41)</f>
        <v>0</v>
      </c>
      <c r="C36" s="39">
        <f t="shared" ref="C36:M36" si="13">SUM(C37:C41)</f>
        <v>1767.6750000000002</v>
      </c>
      <c r="D36" s="39">
        <f t="shared" si="13"/>
        <v>4311.807499999999</v>
      </c>
      <c r="E36" s="39">
        <f t="shared" si="13"/>
        <v>6526.8092499999993</v>
      </c>
      <c r="F36" s="39">
        <f t="shared" si="13"/>
        <v>8162.4864749999988</v>
      </c>
      <c r="G36" s="39">
        <f t="shared" si="13"/>
        <v>9307.4605324999975</v>
      </c>
      <c r="H36" s="39">
        <f t="shared" si="13"/>
        <v>10108.94237275</v>
      </c>
      <c r="I36" s="39">
        <f t="shared" si="13"/>
        <v>10669.979660924999</v>
      </c>
      <c r="J36" s="39">
        <f t="shared" si="13"/>
        <v>11062.7057626475</v>
      </c>
      <c r="K36" s="39">
        <f t="shared" si="13"/>
        <v>11337.61403385325</v>
      </c>
      <c r="L36" s="39">
        <f t="shared" si="13"/>
        <v>11530.049823697274</v>
      </c>
      <c r="M36" s="39">
        <f t="shared" si="13"/>
        <v>11664.754876588093</v>
      </c>
      <c r="N36" s="20"/>
    </row>
    <row r="37" spans="1:14" s="39" customFormat="1" x14ac:dyDescent="0.15">
      <c r="A37" s="49" t="s">
        <v>55</v>
      </c>
      <c r="B37" s="40"/>
      <c r="C37" s="41">
        <f>(C$24*($B$4*15*$F$16/9))+(C$24*($B$5*15*$F$16/9))</f>
        <v>1767.6750000000002</v>
      </c>
      <c r="D37" s="41">
        <f t="shared" ref="D37:M37" si="14">(((D$24-C$24)*($B$4*15*$F$16/9))+((D$24-C$24)*($B$5*15*$F$16/9)))+(C$24*($B$5*30*$F$16/9))</f>
        <v>3173.3974999999996</v>
      </c>
      <c r="E37" s="41">
        <f t="shared" si="14"/>
        <v>3904.8782499999998</v>
      </c>
      <c r="F37" s="41">
        <f t="shared" si="14"/>
        <v>4416.9147749999993</v>
      </c>
      <c r="G37" s="41">
        <f t="shared" si="14"/>
        <v>4775.3403424999997</v>
      </c>
      <c r="H37" s="41">
        <f t="shared" si="14"/>
        <v>5026.2382397499996</v>
      </c>
      <c r="I37" s="41">
        <f t="shared" si="14"/>
        <v>5201.8667678249994</v>
      </c>
      <c r="J37" s="41">
        <f t="shared" si="14"/>
        <v>5324.8067374774992</v>
      </c>
      <c r="K37" s="41">
        <f t="shared" si="14"/>
        <v>5410.8647162342495</v>
      </c>
      <c r="L37" s="41">
        <f t="shared" si="14"/>
        <v>5471.1053013639748</v>
      </c>
      <c r="M37" s="41">
        <f t="shared" si="14"/>
        <v>5513.2737109547825</v>
      </c>
      <c r="N37" s="42"/>
    </row>
    <row r="38" spans="1:14" s="39" customFormat="1" x14ac:dyDescent="0.15">
      <c r="A38" s="39" t="s">
        <v>41</v>
      </c>
      <c r="B38" s="42"/>
      <c r="C38" s="20"/>
      <c r="D38" s="20">
        <f t="shared" ref="D38:M38" si="15">C$24*$F$12</f>
        <v>627.35400000000004</v>
      </c>
      <c r="E38" s="20">
        <f t="shared" si="15"/>
        <v>1335.3677999999998</v>
      </c>
      <c r="F38" s="20">
        <f t="shared" si="15"/>
        <v>1830.9774600000001</v>
      </c>
      <c r="G38" s="20">
        <f t="shared" si="15"/>
        <v>2177.9042219999997</v>
      </c>
      <c r="H38" s="20">
        <f t="shared" si="15"/>
        <v>2420.7529553999998</v>
      </c>
      <c r="I38" s="20">
        <f t="shared" si="15"/>
        <v>2590.7470687799996</v>
      </c>
      <c r="J38" s="20">
        <f t="shared" si="15"/>
        <v>2709.7429481459999</v>
      </c>
      <c r="K38" s="20">
        <f t="shared" si="15"/>
        <v>2793.0400637021994</v>
      </c>
      <c r="L38" s="20">
        <f t="shared" si="15"/>
        <v>2851.3480445915397</v>
      </c>
      <c r="M38" s="20">
        <f t="shared" si="15"/>
        <v>2892.1636312140777</v>
      </c>
      <c r="N38" s="42"/>
    </row>
    <row r="39" spans="1:14" x14ac:dyDescent="0.15">
      <c r="A39" s="48" t="s">
        <v>63</v>
      </c>
      <c r="B39" s="10"/>
      <c r="C39" s="11"/>
      <c r="D39" s="17">
        <f>C$24*$F$13</f>
        <v>262.08</v>
      </c>
      <c r="E39" s="17">
        <f t="shared" ref="E39:M39" si="16">D$24*$F$13</f>
        <v>557.85599999999988</v>
      </c>
      <c r="F39" s="17">
        <f t="shared" si="16"/>
        <v>764.89919999999995</v>
      </c>
      <c r="G39" s="17">
        <f t="shared" si="16"/>
        <v>909.82943999999986</v>
      </c>
      <c r="H39" s="17">
        <f t="shared" si="16"/>
        <v>1011.2806079999998</v>
      </c>
      <c r="I39" s="17">
        <f t="shared" si="16"/>
        <v>1082.2964255999998</v>
      </c>
      <c r="J39" s="17">
        <f t="shared" si="16"/>
        <v>1132.0074979199999</v>
      </c>
      <c r="K39" s="17">
        <f t="shared" si="16"/>
        <v>1166.8052485439998</v>
      </c>
      <c r="L39" s="17">
        <f t="shared" si="16"/>
        <v>1191.1636739807998</v>
      </c>
      <c r="M39" s="17">
        <f t="shared" si="16"/>
        <v>1208.2145717865599</v>
      </c>
      <c r="N39" s="10"/>
    </row>
    <row r="40" spans="1:14" s="39" customFormat="1" x14ac:dyDescent="0.15">
      <c r="A40" s="49" t="s">
        <v>56</v>
      </c>
      <c r="B40" s="42"/>
      <c r="C40" s="20"/>
      <c r="D40" s="20">
        <f t="shared" ref="D40:M40" si="17">C$24*$F$15</f>
        <v>248.976</v>
      </c>
      <c r="E40" s="20">
        <f t="shared" si="17"/>
        <v>529.96319999999992</v>
      </c>
      <c r="F40" s="20">
        <f t="shared" si="17"/>
        <v>726.65423999999996</v>
      </c>
      <c r="G40" s="20">
        <f t="shared" si="17"/>
        <v>864.33796799999993</v>
      </c>
      <c r="H40" s="20">
        <f t="shared" si="17"/>
        <v>960.71657759999982</v>
      </c>
      <c r="I40" s="20">
        <f t="shared" si="17"/>
        <v>1028.1816043199997</v>
      </c>
      <c r="J40" s="20">
        <f t="shared" si="17"/>
        <v>1075.4071230239999</v>
      </c>
      <c r="K40" s="20">
        <f t="shared" si="17"/>
        <v>1108.4649861167998</v>
      </c>
      <c r="L40" s="20">
        <f t="shared" si="17"/>
        <v>1131.6054902817598</v>
      </c>
      <c r="M40" s="20">
        <f t="shared" si="17"/>
        <v>1147.8038431972318</v>
      </c>
      <c r="N40" s="42"/>
    </row>
    <row r="41" spans="1:14" s="39" customFormat="1" x14ac:dyDescent="0.15">
      <c r="A41" s="39" t="s">
        <v>34</v>
      </c>
      <c r="B41" s="43"/>
      <c r="C41" s="44"/>
      <c r="D41" s="44"/>
      <c r="E41" s="44">
        <f t="shared" ref="E41:M41" si="18">C$24*$F$14</f>
        <v>198.744</v>
      </c>
      <c r="F41" s="44">
        <f t="shared" si="18"/>
        <v>423.04079999999993</v>
      </c>
      <c r="G41" s="44">
        <f t="shared" si="18"/>
        <v>580.04855999999995</v>
      </c>
      <c r="H41" s="44">
        <f t="shared" si="18"/>
        <v>689.95399199999997</v>
      </c>
      <c r="I41" s="44">
        <f t="shared" si="18"/>
        <v>766.88779439999985</v>
      </c>
      <c r="J41" s="44">
        <f t="shared" si="18"/>
        <v>820.74145607999981</v>
      </c>
      <c r="K41" s="44">
        <f t="shared" si="18"/>
        <v>858.43901925599994</v>
      </c>
      <c r="L41" s="44">
        <f t="shared" si="18"/>
        <v>884.8273134791998</v>
      </c>
      <c r="M41" s="44">
        <f t="shared" si="18"/>
        <v>903.29911943543982</v>
      </c>
      <c r="N41" s="42"/>
    </row>
    <row r="42" spans="1:14" s="39" customFormat="1" x14ac:dyDescent="0.1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s="39" customFormat="1" x14ac:dyDescent="0.15">
      <c r="A43" s="39" t="s">
        <v>25</v>
      </c>
      <c r="B43" s="20">
        <f>SUM(B44:B45)</f>
        <v>1746.6333333333332</v>
      </c>
      <c r="C43" s="20">
        <f t="shared" ref="C43:M43" si="19">SUM(C44:C45)</f>
        <v>2199.8833333333332</v>
      </c>
      <c r="D43" s="20">
        <f t="shared" si="19"/>
        <v>2852.2249999999995</v>
      </c>
      <c r="E43" s="20">
        <f t="shared" si="19"/>
        <v>3420.1741666666667</v>
      </c>
      <c r="F43" s="20">
        <f t="shared" si="19"/>
        <v>3839.5785833333334</v>
      </c>
      <c r="G43" s="20">
        <f t="shared" si="19"/>
        <v>4133.1616749999994</v>
      </c>
      <c r="H43" s="20">
        <f t="shared" si="19"/>
        <v>4338.669839166666</v>
      </c>
      <c r="I43" s="20">
        <f t="shared" si="19"/>
        <v>4482.5255540833332</v>
      </c>
      <c r="J43" s="20">
        <f t="shared" si="19"/>
        <v>4583.2245545249989</v>
      </c>
      <c r="K43" s="20">
        <f t="shared" si="19"/>
        <v>4653.7138548341663</v>
      </c>
      <c r="L43" s="20">
        <f t="shared" si="19"/>
        <v>4703.0563650505828</v>
      </c>
      <c r="M43" s="20">
        <f t="shared" si="19"/>
        <v>4737.5961222020742</v>
      </c>
      <c r="N43" s="20"/>
    </row>
    <row r="44" spans="1:14" s="39" customFormat="1" x14ac:dyDescent="0.15">
      <c r="A44" s="39" t="s">
        <v>39</v>
      </c>
      <c r="B44" s="39">
        <f>B23*(SUM($E$10:$E$15)+($B$4*30*$E$16/9))</f>
        <v>1746.6333333333332</v>
      </c>
      <c r="C44" s="39">
        <f t="shared" ref="C44:M44" si="20">C23*(SUM($E$10:$E$15)+($B$4*30*$E$16/9))</f>
        <v>1746.6333333333332</v>
      </c>
      <c r="D44" s="39">
        <f t="shared" si="20"/>
        <v>1746.6333333333332</v>
      </c>
      <c r="E44" s="39">
        <f t="shared" si="20"/>
        <v>1746.6333333333332</v>
      </c>
      <c r="F44" s="39">
        <f t="shared" si="20"/>
        <v>1746.6333333333332</v>
      </c>
      <c r="G44" s="39">
        <f t="shared" si="20"/>
        <v>1746.6333333333332</v>
      </c>
      <c r="H44" s="39">
        <f t="shared" si="20"/>
        <v>1746.6333333333332</v>
      </c>
      <c r="I44" s="39">
        <f t="shared" si="20"/>
        <v>1746.6333333333332</v>
      </c>
      <c r="J44" s="39">
        <f t="shared" si="20"/>
        <v>1746.6333333333332</v>
      </c>
      <c r="K44" s="39">
        <f t="shared" si="20"/>
        <v>1746.6333333333332</v>
      </c>
      <c r="L44" s="39">
        <f t="shared" si="20"/>
        <v>1746.6333333333332</v>
      </c>
      <c r="M44" s="39">
        <f t="shared" si="20"/>
        <v>1746.6333333333332</v>
      </c>
      <c r="N44" s="20"/>
    </row>
    <row r="45" spans="1:14" s="39" customFormat="1" x14ac:dyDescent="0.15">
      <c r="A45" s="39" t="s">
        <v>37</v>
      </c>
      <c r="B45" s="39">
        <f t="shared" ref="B45:M45" si="21">SUM(B46:B50)</f>
        <v>0</v>
      </c>
      <c r="C45" s="39">
        <f>SUM(C46:C50)</f>
        <v>453.24999999999994</v>
      </c>
      <c r="D45" s="39">
        <f>SUM(D46:D50)</f>
        <v>1105.5916666666665</v>
      </c>
      <c r="E45" s="39">
        <f t="shared" si="21"/>
        <v>1673.5408333333332</v>
      </c>
      <c r="F45" s="39">
        <f t="shared" si="21"/>
        <v>2092.9452500000002</v>
      </c>
      <c r="G45" s="39">
        <f t="shared" si="21"/>
        <v>2386.5283416666666</v>
      </c>
      <c r="H45" s="39">
        <f t="shared" si="21"/>
        <v>2592.0365058333327</v>
      </c>
      <c r="I45" s="39">
        <f t="shared" si="21"/>
        <v>2735.89222075</v>
      </c>
      <c r="J45" s="39">
        <f t="shared" si="21"/>
        <v>2836.5912211916657</v>
      </c>
      <c r="K45" s="39">
        <f t="shared" si="21"/>
        <v>2907.0805215008327</v>
      </c>
      <c r="L45" s="39">
        <f t="shared" si="21"/>
        <v>2956.4230317172496</v>
      </c>
      <c r="M45" s="39">
        <f t="shared" si="21"/>
        <v>2990.962788868741</v>
      </c>
      <c r="N45" s="20"/>
    </row>
    <row r="46" spans="1:14" s="39" customFormat="1" x14ac:dyDescent="0.15">
      <c r="A46" s="49" t="s">
        <v>58</v>
      </c>
      <c r="B46" s="40"/>
      <c r="C46" s="41">
        <f>(C$24*($B$4*15*$E$16/9))+(C$24*($B$5*15*$E$16/9))</f>
        <v>453.24999999999994</v>
      </c>
      <c r="D46" s="41">
        <f t="shared" ref="D46:M46" si="22">(((D$24-C$24)*($B$4*15*$E$16/9))+((D$24-C$24)*($B$5*15*$E$16/9)))+(C$24*($B$5*30*$E$16/9))</f>
        <v>813.69166666666649</v>
      </c>
      <c r="E46" s="41">
        <f t="shared" si="22"/>
        <v>1001.2508333333333</v>
      </c>
      <c r="F46" s="41">
        <f t="shared" si="22"/>
        <v>1132.54225</v>
      </c>
      <c r="G46" s="41">
        <f t="shared" si="22"/>
        <v>1224.4462416666665</v>
      </c>
      <c r="H46" s="41">
        <f t="shared" si="22"/>
        <v>1288.7790358333332</v>
      </c>
      <c r="I46" s="41">
        <f t="shared" si="22"/>
        <v>1333.8119917499998</v>
      </c>
      <c r="J46" s="41">
        <f t="shared" si="22"/>
        <v>1365.3350608916662</v>
      </c>
      <c r="K46" s="41">
        <f t="shared" si="22"/>
        <v>1387.4012092908331</v>
      </c>
      <c r="L46" s="41">
        <f t="shared" si="22"/>
        <v>1402.8475131702498</v>
      </c>
      <c r="M46" s="41">
        <f t="shared" si="22"/>
        <v>1413.6599258858414</v>
      </c>
      <c r="N46" s="42"/>
    </row>
    <row r="47" spans="1:14" s="39" customFormat="1" x14ac:dyDescent="0.15">
      <c r="A47" s="39" t="s">
        <v>42</v>
      </c>
      <c r="B47" s="42"/>
      <c r="C47" s="20"/>
      <c r="D47" s="20">
        <f t="shared" ref="D47:M47" si="23">C$24*$E$12</f>
        <v>160.86000000000001</v>
      </c>
      <c r="E47" s="20">
        <f t="shared" si="23"/>
        <v>342.40199999999999</v>
      </c>
      <c r="F47" s="20">
        <f t="shared" si="23"/>
        <v>469.48140000000001</v>
      </c>
      <c r="G47" s="20">
        <f t="shared" si="23"/>
        <v>558.43697999999995</v>
      </c>
      <c r="H47" s="20">
        <f t="shared" si="23"/>
        <v>620.70588599999996</v>
      </c>
      <c r="I47" s="20">
        <f t="shared" si="23"/>
        <v>664.29412019999995</v>
      </c>
      <c r="J47" s="20">
        <f t="shared" si="23"/>
        <v>694.80588413999999</v>
      </c>
      <c r="K47" s="20">
        <f t="shared" si="23"/>
        <v>716.16411889799986</v>
      </c>
      <c r="L47" s="20">
        <f t="shared" si="23"/>
        <v>731.11488322859987</v>
      </c>
      <c r="M47" s="20">
        <f t="shared" si="23"/>
        <v>741.58041826001988</v>
      </c>
      <c r="N47" s="42"/>
    </row>
    <row r="48" spans="1:14" x14ac:dyDescent="0.15">
      <c r="A48" s="48" t="s">
        <v>64</v>
      </c>
      <c r="B48" s="10"/>
      <c r="C48" s="11"/>
      <c r="D48" s="17">
        <f>C$24*$E$13</f>
        <v>67.2</v>
      </c>
      <c r="E48" s="17">
        <f t="shared" ref="E48:M48" si="24">D$24*$E$13</f>
        <v>143.04</v>
      </c>
      <c r="F48" s="17">
        <f t="shared" si="24"/>
        <v>196.12799999999999</v>
      </c>
      <c r="G48" s="17">
        <f t="shared" si="24"/>
        <v>233.28959999999998</v>
      </c>
      <c r="H48" s="17">
        <f t="shared" si="24"/>
        <v>259.30271999999997</v>
      </c>
      <c r="I48" s="17">
        <f t="shared" si="24"/>
        <v>277.51190399999996</v>
      </c>
      <c r="J48" s="17">
        <f t="shared" si="24"/>
        <v>290.25833279999995</v>
      </c>
      <c r="K48" s="17">
        <f t="shared" si="24"/>
        <v>299.18083295999992</v>
      </c>
      <c r="L48" s="17">
        <f t="shared" si="24"/>
        <v>305.42658307199997</v>
      </c>
      <c r="M48" s="17">
        <f t="shared" si="24"/>
        <v>309.79860815039996</v>
      </c>
      <c r="N48" s="10"/>
    </row>
    <row r="49" spans="1:15" s="39" customFormat="1" x14ac:dyDescent="0.15">
      <c r="A49" s="49" t="s">
        <v>57</v>
      </c>
      <c r="B49" s="42"/>
      <c r="C49" s="20"/>
      <c r="D49" s="20">
        <f t="shared" ref="D49:M49" si="25">C$24*$E$15</f>
        <v>63.839999999999996</v>
      </c>
      <c r="E49" s="20">
        <f t="shared" si="25"/>
        <v>135.88799999999998</v>
      </c>
      <c r="F49" s="20">
        <f t="shared" si="25"/>
        <v>186.32159999999999</v>
      </c>
      <c r="G49" s="20">
        <f t="shared" si="25"/>
        <v>221.62511999999995</v>
      </c>
      <c r="H49" s="20">
        <f t="shared" si="25"/>
        <v>246.33758399999994</v>
      </c>
      <c r="I49" s="20">
        <f t="shared" si="25"/>
        <v>263.63630879999994</v>
      </c>
      <c r="J49" s="20">
        <f t="shared" si="25"/>
        <v>275.74541615999993</v>
      </c>
      <c r="K49" s="20">
        <f t="shared" si="25"/>
        <v>284.22179131199994</v>
      </c>
      <c r="L49" s="20">
        <f t="shared" si="25"/>
        <v>290.15525391839992</v>
      </c>
      <c r="M49" s="20">
        <f t="shared" si="25"/>
        <v>294.30867774287992</v>
      </c>
      <c r="N49" s="42"/>
    </row>
    <row r="50" spans="1:15" s="39" customFormat="1" x14ac:dyDescent="0.15">
      <c r="A50" s="39" t="s">
        <v>35</v>
      </c>
      <c r="B50" s="43"/>
      <c r="C50" s="44"/>
      <c r="D50" s="44"/>
      <c r="E50" s="44">
        <f t="shared" ref="E50:M50" si="26">C$24*$E$14</f>
        <v>50.96</v>
      </c>
      <c r="F50" s="44">
        <f t="shared" si="26"/>
        <v>108.47199999999999</v>
      </c>
      <c r="G50" s="44">
        <f t="shared" si="26"/>
        <v>148.7304</v>
      </c>
      <c r="H50" s="44">
        <f t="shared" si="26"/>
        <v>176.91128</v>
      </c>
      <c r="I50" s="44">
        <f t="shared" si="26"/>
        <v>196.63789599999998</v>
      </c>
      <c r="J50" s="44">
        <f t="shared" si="26"/>
        <v>210.44652719999996</v>
      </c>
      <c r="K50" s="44">
        <f t="shared" si="26"/>
        <v>220.11256903999998</v>
      </c>
      <c r="L50" s="44">
        <f t="shared" si="26"/>
        <v>226.87879832799996</v>
      </c>
      <c r="M50" s="44">
        <f t="shared" si="26"/>
        <v>231.61515882959998</v>
      </c>
      <c r="N50" s="42"/>
    </row>
    <row r="51" spans="1:15" s="6" customFormat="1" x14ac:dyDescent="0.1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5" s="18" customFormat="1" x14ac:dyDescent="0.15">
      <c r="A52" s="18" t="s">
        <v>40</v>
      </c>
      <c r="B52" s="19">
        <f>VLOOKUP(B43,Rebate_Table[],2,TRUE)</f>
        <v>0.09</v>
      </c>
      <c r="C52" s="19">
        <f>VLOOKUP(C43,Rebate_Table[],2,TRUE)</f>
        <v>0.12</v>
      </c>
      <c r="D52" s="19">
        <f>VLOOKUP(D43,Rebate_Table[],2,TRUE)</f>
        <v>0.12</v>
      </c>
      <c r="E52" s="19">
        <f>VLOOKUP(E43,Rebate_Table[],2,TRUE)</f>
        <v>0.15</v>
      </c>
      <c r="F52" s="19">
        <f>VLOOKUP(F43,Rebate_Table[],2,TRUE)</f>
        <v>0.15</v>
      </c>
      <c r="G52" s="19">
        <f>VLOOKUP(G43,Rebate_Table[],2,TRUE)</f>
        <v>0.15</v>
      </c>
      <c r="H52" s="19">
        <f>VLOOKUP(H43,Rebate_Table[],2,TRUE)</f>
        <v>0.15</v>
      </c>
      <c r="I52" s="19">
        <f>VLOOKUP(I43,Rebate_Table[],2,TRUE)</f>
        <v>0.15</v>
      </c>
      <c r="J52" s="19">
        <f>VLOOKUP(J43,Rebate_Table[],2,TRUE)</f>
        <v>0.15</v>
      </c>
      <c r="K52" s="19">
        <f>VLOOKUP(K43,Rebate_Table[],2,TRUE)</f>
        <v>0.15</v>
      </c>
      <c r="L52" s="19">
        <f>VLOOKUP(L43,Rebate_Table[],2,TRUE)</f>
        <v>0.15</v>
      </c>
      <c r="M52" s="19">
        <f>VLOOKUP(M43,Rebate_Table[],2,TRUE)</f>
        <v>0.15</v>
      </c>
      <c r="N52" s="19"/>
    </row>
    <row r="53" spans="1:15" s="21" customFormat="1" x14ac:dyDescent="0.15">
      <c r="A53" s="21" t="s">
        <v>18</v>
      </c>
      <c r="B53" s="21">
        <f>B52*(B34)</f>
        <v>613.06829999999991</v>
      </c>
      <c r="C53" s="21">
        <f t="shared" ref="C53:M53" si="27">C52*(C34)</f>
        <v>1029.5453999999997</v>
      </c>
      <c r="D53" s="21">
        <f t="shared" si="27"/>
        <v>1334.8412999999998</v>
      </c>
      <c r="E53" s="21">
        <f t="shared" si="27"/>
        <v>2000.8018874999996</v>
      </c>
      <c r="F53" s="21">
        <f t="shared" si="27"/>
        <v>2246.1534712499993</v>
      </c>
      <c r="G53" s="21">
        <f t="shared" si="27"/>
        <v>2417.8995798749993</v>
      </c>
      <c r="H53" s="21">
        <f t="shared" si="27"/>
        <v>2538.1218559124995</v>
      </c>
      <c r="I53" s="21">
        <f t="shared" si="27"/>
        <v>2622.2774491387499</v>
      </c>
      <c r="J53" s="21">
        <f t="shared" si="27"/>
        <v>2681.1863643971246</v>
      </c>
      <c r="K53" s="21">
        <f t="shared" si="27"/>
        <v>2722.4226050779871</v>
      </c>
      <c r="L53" s="21">
        <f t="shared" si="27"/>
        <v>2751.2879735545907</v>
      </c>
      <c r="M53" s="21">
        <f t="shared" si="27"/>
        <v>2771.4937314882136</v>
      </c>
      <c r="N53" s="21">
        <f>SUM(B53:M53)</f>
        <v>25729.099918194159</v>
      </c>
      <c r="O53" s="21">
        <f>M53*12</f>
        <v>33257.924777858563</v>
      </c>
    </row>
    <row r="55" spans="1:15" s="3" customFormat="1" ht="14" thickBot="1" x14ac:dyDescent="0.2">
      <c r="A55" s="3" t="s">
        <v>49</v>
      </c>
      <c r="B55" s="22">
        <f t="shared" ref="B55:M55" si="28">B26+B27+B53</f>
        <v>2930.6016333333337</v>
      </c>
      <c r="C55" s="22">
        <f t="shared" si="28"/>
        <v>3833.9287333333341</v>
      </c>
      <c r="D55" s="22">
        <f t="shared" si="28"/>
        <v>4964.7263000000012</v>
      </c>
      <c r="E55" s="22">
        <f t="shared" si="28"/>
        <v>6377.8080541666677</v>
      </c>
      <c r="F55" s="22">
        <f t="shared" si="28"/>
        <v>7167.9844545833348</v>
      </c>
      <c r="G55" s="22">
        <f t="shared" si="28"/>
        <v>7721.107934875</v>
      </c>
      <c r="H55" s="22">
        <f t="shared" si="28"/>
        <v>8108.294371079166</v>
      </c>
      <c r="I55" s="22">
        <f t="shared" si="28"/>
        <v>8379.3248764220843</v>
      </c>
      <c r="J55" s="22">
        <f t="shared" si="28"/>
        <v>8569.0462301621264</v>
      </c>
      <c r="K55" s="22">
        <f t="shared" si="28"/>
        <v>8701.8511777801541</v>
      </c>
      <c r="L55" s="22">
        <f t="shared" si="28"/>
        <v>8794.8146411127746</v>
      </c>
      <c r="M55" s="22">
        <f t="shared" si="28"/>
        <v>8859.88906544561</v>
      </c>
      <c r="N55" s="22">
        <f>SUM(B55:M55)</f>
        <v>84409.377472293592</v>
      </c>
      <c r="O55" s="22">
        <f>O26+O27+O53</f>
        <v>106318.66878534731</v>
      </c>
    </row>
  </sheetData>
  <sheetProtection password="C889" sheet="1" objects="1" scenarios="1"/>
  <phoneticPr fontId="0" type="noConversion"/>
  <printOptions horizontalCentered="1" verticalCentered="1"/>
  <pageMargins left="0.27559055118110237" right="0.23622047244094491" top="0.39370078740157483" bottom="0.39370078740157483" header="0.51181102362204722" footer="0.51181102362204722"/>
  <pageSetup paperSize="9" scale="81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5" sqref="A5:A10"/>
    </sheetView>
  </sheetViews>
  <sheetFormatPr baseColWidth="10" defaultColWidth="8.83203125" defaultRowHeight="13" x14ac:dyDescent="0.15"/>
  <cols>
    <col min="2" max="2" width="10.5" customWidth="1"/>
  </cols>
  <sheetData>
    <row r="1" spans="1:2" x14ac:dyDescent="0.15">
      <c r="A1" s="3" t="s">
        <v>47</v>
      </c>
    </row>
    <row r="3" spans="1:2" x14ac:dyDescent="0.15">
      <c r="A3" s="54" t="s">
        <v>22</v>
      </c>
      <c r="B3" s="55" t="s">
        <v>48</v>
      </c>
    </row>
    <row r="4" spans="1:2" x14ac:dyDescent="0.15">
      <c r="A4" s="52">
        <v>100</v>
      </c>
      <c r="B4" s="53">
        <v>0.03</v>
      </c>
    </row>
    <row r="5" spans="1:2" x14ac:dyDescent="0.15">
      <c r="A5" s="52">
        <v>400</v>
      </c>
      <c r="B5" s="53">
        <v>0.06</v>
      </c>
    </row>
    <row r="6" spans="1:2" x14ac:dyDescent="0.15">
      <c r="A6" s="52">
        <v>1000</v>
      </c>
      <c r="B6" s="53">
        <v>0.09</v>
      </c>
    </row>
    <row r="7" spans="1:2" x14ac:dyDescent="0.15">
      <c r="A7" s="52">
        <v>2000</v>
      </c>
      <c r="B7" s="53">
        <v>0.12</v>
      </c>
    </row>
    <row r="8" spans="1:2" x14ac:dyDescent="0.15">
      <c r="A8" s="52">
        <v>3250</v>
      </c>
      <c r="B8" s="53">
        <v>0.15</v>
      </c>
    </row>
    <row r="9" spans="1:2" x14ac:dyDescent="0.15">
      <c r="A9" s="52">
        <v>5000</v>
      </c>
      <c r="B9" s="53">
        <v>0.18</v>
      </c>
    </row>
    <row r="10" spans="1:2" x14ac:dyDescent="0.15">
      <c r="A10" s="56">
        <v>7500</v>
      </c>
      <c r="B10" s="57">
        <v>0.21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11" sqref="A11"/>
    </sheetView>
  </sheetViews>
  <sheetFormatPr baseColWidth="10" defaultColWidth="8.83203125" defaultRowHeight="13" x14ac:dyDescent="0.15"/>
  <cols>
    <col min="1" max="1" width="34.83203125" bestFit="1" customWidth="1"/>
    <col min="3" max="3" width="11.1640625" customWidth="1"/>
    <col min="8" max="8" width="6.33203125" bestFit="1" customWidth="1"/>
    <col min="9" max="9" width="9.83203125" bestFit="1" customWidth="1"/>
  </cols>
  <sheetData>
    <row r="1" spans="1:9" ht="14" thickBot="1" x14ac:dyDescent="0.2">
      <c r="A1" s="37" t="s">
        <v>65</v>
      </c>
      <c r="B1" s="64" t="s">
        <v>19</v>
      </c>
      <c r="C1" s="64" t="s">
        <v>20</v>
      </c>
      <c r="D1" s="64" t="s">
        <v>21</v>
      </c>
      <c r="E1" s="64" t="s">
        <v>22</v>
      </c>
      <c r="F1" s="64" t="s">
        <v>27</v>
      </c>
      <c r="G1" s="37"/>
      <c r="H1" s="76">
        <v>3.9</v>
      </c>
      <c r="I1" s="62" t="s">
        <v>66</v>
      </c>
    </row>
    <row r="2" spans="1:9" x14ac:dyDescent="0.15">
      <c r="A2" s="65" t="s">
        <v>24</v>
      </c>
      <c r="B2" s="66">
        <v>85</v>
      </c>
      <c r="C2" s="66">
        <v>72</v>
      </c>
      <c r="D2" s="66">
        <f>B2-C2</f>
        <v>13</v>
      </c>
      <c r="E2" s="67"/>
      <c r="F2" s="67"/>
      <c r="G2" s="17"/>
    </row>
    <row r="3" spans="1:9" x14ac:dyDescent="0.15">
      <c r="A3" s="68" t="s">
        <v>53</v>
      </c>
      <c r="B3" s="69">
        <v>224.95</v>
      </c>
      <c r="C3" s="69">
        <v>168.83</v>
      </c>
      <c r="D3" s="69">
        <f>B3-C3</f>
        <v>56.119999999999976</v>
      </c>
      <c r="E3" s="70">
        <v>39.35</v>
      </c>
      <c r="F3" s="71">
        <f>E3*$H$1</f>
        <v>153.465</v>
      </c>
      <c r="G3" s="63"/>
    </row>
    <row r="4" spans="1:9" x14ac:dyDescent="0.15">
      <c r="A4" s="68" t="s">
        <v>59</v>
      </c>
      <c r="B4" s="69">
        <v>133.05000000000001</v>
      </c>
      <c r="C4" s="69">
        <v>98.57</v>
      </c>
      <c r="D4" s="69">
        <f>B4-C4</f>
        <v>34.480000000000018</v>
      </c>
      <c r="E4" s="70">
        <v>22.98</v>
      </c>
      <c r="F4" s="71">
        <f>E4*$H$1</f>
        <v>89.622</v>
      </c>
      <c r="G4" s="63"/>
    </row>
    <row r="5" spans="1:9" x14ac:dyDescent="0.15">
      <c r="A5" s="68" t="s">
        <v>61</v>
      </c>
      <c r="B5" s="69">
        <v>55.61</v>
      </c>
      <c r="C5" s="69">
        <v>41.18</v>
      </c>
      <c r="D5" s="69">
        <f t="shared" ref="D5:D6" si="0">B5-C5</f>
        <v>14.43</v>
      </c>
      <c r="E5" s="70">
        <v>9.6</v>
      </c>
      <c r="F5" s="71">
        <f>E5*$H$1</f>
        <v>37.44</v>
      </c>
      <c r="G5" s="63"/>
    </row>
    <row r="6" spans="1:9" x14ac:dyDescent="0.15">
      <c r="A6" s="68" t="s">
        <v>60</v>
      </c>
      <c r="B6" s="69">
        <v>36.36</v>
      </c>
      <c r="C6" s="69">
        <v>29.08</v>
      </c>
      <c r="D6" s="69">
        <f t="shared" si="0"/>
        <v>7.2800000000000011</v>
      </c>
      <c r="E6" s="70">
        <v>7.28</v>
      </c>
      <c r="F6" s="71">
        <f>E6*$H$1</f>
        <v>28.391999999999999</v>
      </c>
      <c r="G6" s="63"/>
    </row>
    <row r="7" spans="1:9" x14ac:dyDescent="0.15">
      <c r="A7" s="72" t="s">
        <v>51</v>
      </c>
      <c r="B7" s="69">
        <v>52.86</v>
      </c>
      <c r="C7" s="69">
        <v>39.15</v>
      </c>
      <c r="D7" s="69">
        <f>B7-C7</f>
        <v>13.71</v>
      </c>
      <c r="E7" s="70">
        <v>9.1199999999999992</v>
      </c>
      <c r="F7" s="71">
        <f>E7*$H$1</f>
        <v>35.567999999999998</v>
      </c>
      <c r="G7" s="63"/>
    </row>
    <row r="8" spans="1:9" ht="14" thickBot="1" x14ac:dyDescent="0.2">
      <c r="A8" s="65" t="s">
        <v>23</v>
      </c>
      <c r="B8" s="73">
        <v>69.45</v>
      </c>
      <c r="C8" s="73">
        <v>55.54</v>
      </c>
      <c r="D8" s="73">
        <f>B8-C8</f>
        <v>13.910000000000004</v>
      </c>
      <c r="E8" s="74">
        <v>12.95</v>
      </c>
      <c r="F8" s="75">
        <f>E8*$H$1</f>
        <v>50.504999999999995</v>
      </c>
    </row>
    <row r="11" spans="1:9" x14ac:dyDescent="0.15">
      <c r="A11" t="s">
        <v>67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 Clients</vt:lpstr>
      <vt:lpstr>5 Clients</vt:lpstr>
      <vt:lpstr>10 Clients</vt:lpstr>
      <vt:lpstr>LOOKUP Data</vt:lpstr>
      <vt:lpstr>LOOKUPS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Stock</dc:creator>
  <cp:lastModifiedBy>Microsoft Office User</cp:lastModifiedBy>
  <cp:lastPrinted>2014-07-21T11:31:04Z</cp:lastPrinted>
  <dcterms:created xsi:type="dcterms:W3CDTF">2003-02-05T07:01:05Z</dcterms:created>
  <dcterms:modified xsi:type="dcterms:W3CDTF">2016-12-28T06:55:22Z</dcterms:modified>
</cp:coreProperties>
</file>